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" yWindow="149" windowWidth="19481" windowHeight="8572"/>
  </bookViews>
  <sheets>
    <sheet name="Sistema" sheetId="1" r:id="rId1"/>
  </sheets>
  <externalReferences>
    <externalReference r:id="rId2"/>
  </externalReferences>
  <definedNames>
    <definedName name="_xlnm._FilterDatabase" localSheetId="0" hidden="1">Sistema!$A$1:$A$121</definedName>
    <definedName name="acusis" localSheetId="0">Sistema!#REF!</definedName>
    <definedName name="acusis">#REF!</definedName>
    <definedName name="_xlnm.Print_Area" localSheetId="0">Sistema!$AA$1:$AU$85</definedName>
    <definedName name="DDDDDDDDDD">#REF!</definedName>
    <definedName name="GES">[1]Gestão!$Y$1:$Y$75</definedName>
    <definedName name="impgesset">#REF!</definedName>
    <definedName name="impsisset">#REF!</definedName>
    <definedName name="SIS">Sistema!$AU$1:$AU$89</definedName>
    <definedName name="SSSSSSSSSS">#REF!</definedName>
    <definedName name="SSSSSSSSSSSSSSSS">#REF!</definedName>
    <definedName name="subges">#REF!</definedName>
    <definedName name="subsis">#REF!</definedName>
    <definedName name="_xlnm.Print_Titles" localSheetId="0">Sistema!$C:$C,Sistema!$1:$3</definedName>
  </definedNames>
  <calcPr calcId="125725"/>
</workbook>
</file>

<file path=xl/calcChain.xml><?xml version="1.0" encoding="utf-8"?>
<calcChain xmlns="http://schemas.openxmlformats.org/spreadsheetml/2006/main">
  <c r="AT74" i="1"/>
  <c r="AS74"/>
  <c r="AR74"/>
  <c r="AT73"/>
  <c r="AS73"/>
  <c r="AR73"/>
  <c r="AT72"/>
  <c r="AS72"/>
  <c r="AR72"/>
  <c r="AT70"/>
  <c r="AS70"/>
  <c r="AU70" s="1"/>
  <c r="AR70"/>
  <c r="AT69"/>
  <c r="AS69"/>
  <c r="AR69"/>
  <c r="AT68"/>
  <c r="AS68"/>
  <c r="AR68"/>
  <c r="AR58"/>
  <c r="AR55"/>
  <c r="AS54"/>
  <c r="AT53"/>
  <c r="AS53"/>
  <c r="AR53"/>
  <c r="AT51"/>
  <c r="AT47"/>
  <c r="AS47"/>
  <c r="AR47"/>
  <c r="AT46"/>
  <c r="AS46"/>
  <c r="AR46"/>
  <c r="AT45"/>
  <c r="AS45"/>
  <c r="AR45"/>
  <c r="AT44"/>
  <c r="AS44"/>
  <c r="AR44"/>
  <c r="AT38"/>
  <c r="AT32"/>
  <c r="AS32"/>
  <c r="AR32"/>
  <c r="AT25"/>
  <c r="AT23"/>
  <c r="AS23"/>
  <c r="AR23"/>
  <c r="AT22"/>
  <c r="AS22"/>
  <c r="AR22"/>
  <c r="AT16"/>
  <c r="AS16"/>
  <c r="AR16"/>
  <c r="AR11"/>
  <c r="AT10"/>
  <c r="AS10"/>
  <c r="AR10"/>
  <c r="AT9"/>
  <c r="AT8"/>
  <c r="AS8"/>
  <c r="AR8"/>
  <c r="AT2"/>
  <c r="AS2"/>
  <c r="AR2"/>
  <c r="AQ74"/>
  <c r="AQ73"/>
  <c r="AQ72"/>
  <c r="AQ70"/>
  <c r="AQ68"/>
  <c r="AU74"/>
  <c r="AQ53"/>
  <c r="AQ69" s="1"/>
  <c r="AQ49"/>
  <c r="AQ47"/>
  <c r="AQ46"/>
  <c r="AQ45"/>
  <c r="AQ44"/>
  <c r="AQ32"/>
  <c r="AQ23"/>
  <c r="AQ22"/>
  <c r="AQ10"/>
  <c r="AQ8"/>
  <c r="AQ2"/>
  <c r="AP74"/>
  <c r="AU73"/>
  <c r="AP73"/>
  <c r="AP72"/>
  <c r="AU72" s="1"/>
  <c r="AP70"/>
  <c r="AP68"/>
  <c r="AP53"/>
  <c r="AP69" s="1"/>
  <c r="AP52"/>
  <c r="AP49"/>
  <c r="AP46"/>
  <c r="AP45"/>
  <c r="AP44" s="1"/>
  <c r="AU32"/>
  <c r="AP32"/>
  <c r="AP23"/>
  <c r="AP22"/>
  <c r="AP16"/>
  <c r="AP10"/>
  <c r="AP8"/>
  <c r="AP2"/>
  <c r="AO74"/>
  <c r="AO73"/>
  <c r="AO72"/>
  <c r="AO70"/>
  <c r="AO69"/>
  <c r="AO68"/>
  <c r="AO57"/>
  <c r="AO53"/>
  <c r="AO47"/>
  <c r="AO46"/>
  <c r="AO45"/>
  <c r="AO44"/>
  <c r="AO32"/>
  <c r="AO23"/>
  <c r="AO22"/>
  <c r="AO10"/>
  <c r="AO8"/>
  <c r="AO2"/>
  <c r="AM87"/>
  <c r="AN74"/>
  <c r="AM74"/>
  <c r="AN73"/>
  <c r="AM73"/>
  <c r="AN72"/>
  <c r="AM72"/>
  <c r="AN70"/>
  <c r="AM70"/>
  <c r="AN69"/>
  <c r="AM69"/>
  <c r="AN68"/>
  <c r="AM68"/>
  <c r="AM58"/>
  <c r="AN53"/>
  <c r="AM53"/>
  <c r="AN47"/>
  <c r="AM47"/>
  <c r="AN46"/>
  <c r="AM46"/>
  <c r="AN45"/>
  <c r="AM45"/>
  <c r="AN44"/>
  <c r="AM44"/>
  <c r="AN32"/>
  <c r="AM32"/>
  <c r="AN23"/>
  <c r="AM23"/>
  <c r="AN22"/>
  <c r="AM22"/>
  <c r="AN10"/>
  <c r="AM10"/>
  <c r="AN8"/>
  <c r="AM8"/>
  <c r="AM4"/>
  <c r="AM86" s="1"/>
  <c r="AM89" s="1"/>
  <c r="AN2"/>
  <c r="AM2"/>
  <c r="AU68"/>
  <c r="AU58"/>
  <c r="AU57"/>
  <c r="AU56"/>
  <c r="AU55"/>
  <c r="AU54"/>
  <c r="AU52"/>
  <c r="AU51"/>
  <c r="AU50"/>
  <c r="AU48"/>
  <c r="AU47"/>
  <c r="AU42"/>
  <c r="AU41"/>
  <c r="AU40"/>
  <c r="AU39"/>
  <c r="AU38"/>
  <c r="AU37"/>
  <c r="AU36"/>
  <c r="AU35"/>
  <c r="AU34"/>
  <c r="AU33"/>
  <c r="AU31"/>
  <c r="AU30"/>
  <c r="AU29"/>
  <c r="AU28"/>
  <c r="AU27"/>
  <c r="AU26"/>
  <c r="AU25"/>
  <c r="AU24"/>
  <c r="AU20"/>
  <c r="AU18"/>
  <c r="AU17"/>
  <c r="AU16"/>
  <c r="AU15"/>
  <c r="AU3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Z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O2"/>
  <c r="DP2"/>
  <c r="DQ2"/>
  <c r="DR2"/>
  <c r="DS2"/>
  <c r="DT2"/>
  <c r="DU2"/>
  <c r="DV2"/>
  <c r="DW2"/>
  <c r="DX2"/>
  <c r="DY2"/>
  <c r="DZ2"/>
  <c r="EA2"/>
  <c r="EB2"/>
  <c r="EC2"/>
  <c r="ED2"/>
  <c r="EE2"/>
  <c r="EF2"/>
  <c r="EG2"/>
  <c r="EH2"/>
  <c r="EI2"/>
  <c r="EJ2"/>
  <c r="E4"/>
  <c r="AA4"/>
  <c r="BR6"/>
  <c r="CP6"/>
  <c r="DM6"/>
  <c r="EK6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Z8"/>
  <c r="O9"/>
  <c r="W9"/>
  <c r="I10"/>
  <c r="J10"/>
  <c r="K10"/>
  <c r="L10"/>
  <c r="M10"/>
  <c r="N10"/>
  <c r="O10"/>
  <c r="P10"/>
  <c r="Q10"/>
  <c r="R10"/>
  <c r="S10"/>
  <c r="T10"/>
  <c r="U10"/>
  <c r="V10"/>
  <c r="W10"/>
  <c r="X10"/>
  <c r="Z10"/>
  <c r="O11"/>
  <c r="P12"/>
  <c r="E14"/>
  <c r="F14" s="1"/>
  <c r="G14" s="1"/>
  <c r="H14" s="1"/>
  <c r="AA15"/>
  <c r="BR15"/>
  <c r="CP15"/>
  <c r="DM15"/>
  <c r="EK15"/>
  <c r="T16"/>
  <c r="DM16" s="1"/>
  <c r="BR16"/>
  <c r="EK16"/>
  <c r="AA17"/>
  <c r="BR17"/>
  <c r="CP17"/>
  <c r="DM17"/>
  <c r="EK17"/>
  <c r="T18"/>
  <c r="BR18"/>
  <c r="EK18"/>
  <c r="D20"/>
  <c r="BR20"/>
  <c r="CP20"/>
  <c r="DM20"/>
  <c r="EK20"/>
  <c r="H22"/>
  <c r="BS22"/>
  <c r="CQ22"/>
  <c r="CS22"/>
  <c r="CW22"/>
  <c r="DE22"/>
  <c r="DI22"/>
  <c r="DN22"/>
  <c r="EC22"/>
  <c r="EL22"/>
  <c r="E23"/>
  <c r="F23"/>
  <c r="G23"/>
  <c r="H23"/>
  <c r="I23"/>
  <c r="J23"/>
  <c r="K23"/>
  <c r="L23"/>
  <c r="M23"/>
  <c r="N23"/>
  <c r="O23"/>
  <c r="P23"/>
  <c r="Q23"/>
  <c r="R23"/>
  <c r="S23"/>
  <c r="T23"/>
  <c r="T22" s="1"/>
  <c r="U23"/>
  <c r="V23"/>
  <c r="W23"/>
  <c r="X23"/>
  <c r="X22" s="1"/>
  <c r="Z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T23"/>
  <c r="BT22" s="1"/>
  <c r="BU23"/>
  <c r="BV23"/>
  <c r="BW23"/>
  <c r="BX23"/>
  <c r="BX22" s="1"/>
  <c r="BY23"/>
  <c r="BZ23"/>
  <c r="CA23"/>
  <c r="CB23"/>
  <c r="CB22" s="1"/>
  <c r="CC23"/>
  <c r="CD23"/>
  <c r="CE23"/>
  <c r="CF23"/>
  <c r="CF22" s="1"/>
  <c r="CG23"/>
  <c r="CH23"/>
  <c r="CI23"/>
  <c r="CJ23"/>
  <c r="CJ22" s="1"/>
  <c r="CK23"/>
  <c r="CL23"/>
  <c r="CM23"/>
  <c r="CN23"/>
  <c r="CN22" s="1"/>
  <c r="CO23"/>
  <c r="CR23"/>
  <c r="CS23"/>
  <c r="CT23"/>
  <c r="CU23"/>
  <c r="CV23"/>
  <c r="CW23"/>
  <c r="CX23"/>
  <c r="CY23"/>
  <c r="CZ23"/>
  <c r="DA23"/>
  <c r="DA22" s="1"/>
  <c r="DB23"/>
  <c r="DC23"/>
  <c r="DD23"/>
  <c r="DE23"/>
  <c r="DF23"/>
  <c r="DG23"/>
  <c r="DH23"/>
  <c r="DI23"/>
  <c r="DJ23"/>
  <c r="DK23"/>
  <c r="DL23"/>
  <c r="DO23"/>
  <c r="DP23"/>
  <c r="DQ23"/>
  <c r="DQ22" s="1"/>
  <c r="DR23"/>
  <c r="DS23"/>
  <c r="DT23"/>
  <c r="DU23"/>
  <c r="DU22" s="1"/>
  <c r="DV23"/>
  <c r="DW23"/>
  <c r="DX23"/>
  <c r="DY23"/>
  <c r="DY22" s="1"/>
  <c r="DZ23"/>
  <c r="EA23"/>
  <c r="EB23"/>
  <c r="EC23"/>
  <c r="ED23"/>
  <c r="EE23"/>
  <c r="EF23"/>
  <c r="EG23"/>
  <c r="EG22" s="1"/>
  <c r="EH23"/>
  <c r="EI23"/>
  <c r="EJ23"/>
  <c r="AA24"/>
  <c r="BR24"/>
  <c r="CP24"/>
  <c r="DM24"/>
  <c r="EK24"/>
  <c r="AA25"/>
  <c r="BR25"/>
  <c r="CP25"/>
  <c r="DM25"/>
  <c r="EK25"/>
  <c r="AA26"/>
  <c r="BR26"/>
  <c r="CP26"/>
  <c r="DM26"/>
  <c r="EK26"/>
  <c r="AA27"/>
  <c r="BR27"/>
  <c r="CP27"/>
  <c r="DM27"/>
  <c r="EK27"/>
  <c r="AA28"/>
  <c r="BR28"/>
  <c r="CP28"/>
  <c r="DM28"/>
  <c r="EK28"/>
  <c r="AA29"/>
  <c r="BR29"/>
  <c r="CP29"/>
  <c r="DM29"/>
  <c r="EK29"/>
  <c r="AA30"/>
  <c r="BR30"/>
  <c r="CP30"/>
  <c r="DM30"/>
  <c r="EK30"/>
  <c r="AA31"/>
  <c r="BR31"/>
  <c r="CP31"/>
  <c r="DM31"/>
  <c r="EK31"/>
  <c r="E32"/>
  <c r="F32"/>
  <c r="F22" s="1"/>
  <c r="G32"/>
  <c r="H32"/>
  <c r="I32"/>
  <c r="J32"/>
  <c r="J22" s="1"/>
  <c r="K32"/>
  <c r="L32"/>
  <c r="L22" s="1"/>
  <c r="M32"/>
  <c r="N32"/>
  <c r="N22" s="1"/>
  <c r="O32"/>
  <c r="P32"/>
  <c r="Q32"/>
  <c r="R32"/>
  <c r="R22" s="1"/>
  <c r="S32"/>
  <c r="T32"/>
  <c r="U32"/>
  <c r="V32"/>
  <c r="V22" s="1"/>
  <c r="W32"/>
  <c r="X32"/>
  <c r="Z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R32"/>
  <c r="CS32"/>
  <c r="CT32"/>
  <c r="CU32"/>
  <c r="CV32"/>
  <c r="CW32"/>
  <c r="CX32"/>
  <c r="CY32"/>
  <c r="CZ32"/>
  <c r="DA32"/>
  <c r="DB32"/>
  <c r="DC32"/>
  <c r="DD32"/>
  <c r="DE32"/>
  <c r="DF32"/>
  <c r="DG32"/>
  <c r="DH32"/>
  <c r="DI32"/>
  <c r="DJ32"/>
  <c r="DK32"/>
  <c r="DL32"/>
  <c r="DO32"/>
  <c r="DP32"/>
  <c r="DQ32"/>
  <c r="DR32"/>
  <c r="DR22" s="1"/>
  <c r="DS32"/>
  <c r="DT32"/>
  <c r="DU32"/>
  <c r="DV32"/>
  <c r="DV22" s="1"/>
  <c r="DW32"/>
  <c r="DX32"/>
  <c r="DY32"/>
  <c r="DZ32"/>
  <c r="DZ22" s="1"/>
  <c r="EA32"/>
  <c r="EB32"/>
  <c r="EC32"/>
  <c r="ED32"/>
  <c r="ED22" s="1"/>
  <c r="EE32"/>
  <c r="EF32"/>
  <c r="EG32"/>
  <c r="EH32"/>
  <c r="EH22" s="1"/>
  <c r="EI32"/>
  <c r="EJ32"/>
  <c r="AA33"/>
  <c r="BR33"/>
  <c r="CP33"/>
  <c r="DM33"/>
  <c r="EK33"/>
  <c r="AA34"/>
  <c r="BR34"/>
  <c r="CP34"/>
  <c r="DM34"/>
  <c r="EK34"/>
  <c r="AA35"/>
  <c r="BR35"/>
  <c r="CP35"/>
  <c r="DM35"/>
  <c r="EK35"/>
  <c r="AA36"/>
  <c r="BR36"/>
  <c r="CP36"/>
  <c r="DM36"/>
  <c r="EK36"/>
  <c r="U37"/>
  <c r="AA37" s="1"/>
  <c r="BR37"/>
  <c r="N38"/>
  <c r="AA38" s="1"/>
  <c r="AB38"/>
  <c r="BR38"/>
  <c r="DM38"/>
  <c r="EK38"/>
  <c r="AA39"/>
  <c r="BR39"/>
  <c r="CP39"/>
  <c r="DM39"/>
  <c r="EK39"/>
  <c r="AA40"/>
  <c r="BR40"/>
  <c r="CP40"/>
  <c r="DM40"/>
  <c r="EK40"/>
  <c r="AA41"/>
  <c r="AB41" s="1"/>
  <c r="BR41"/>
  <c r="CP41"/>
  <c r="DM41"/>
  <c r="EK41"/>
  <c r="AA42"/>
  <c r="AB42"/>
  <c r="BR42"/>
  <c r="CP42"/>
  <c r="DM42"/>
  <c r="EK42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Q44"/>
  <c r="CR44"/>
  <c r="CS44"/>
  <c r="CT44"/>
  <c r="CU44"/>
  <c r="CV44"/>
  <c r="CW44"/>
  <c r="CX44"/>
  <c r="CY44"/>
  <c r="CZ44"/>
  <c r="DA44"/>
  <c r="DB44"/>
  <c r="DC44"/>
  <c r="DD44"/>
  <c r="DE44"/>
  <c r="DF44"/>
  <c r="DG44"/>
  <c r="DH44"/>
  <c r="DI44"/>
  <c r="DJ44"/>
  <c r="DK44"/>
  <c r="DL44"/>
  <c r="DN44"/>
  <c r="DO44"/>
  <c r="DP44"/>
  <c r="DQ44"/>
  <c r="DR44"/>
  <c r="DS44"/>
  <c r="DT44"/>
  <c r="DU44"/>
  <c r="DV44"/>
  <c r="DW44"/>
  <c r="DX44"/>
  <c r="DY44"/>
  <c r="DZ44"/>
  <c r="EA44"/>
  <c r="EB44"/>
  <c r="EC44"/>
  <c r="ED44"/>
  <c r="EE44"/>
  <c r="EF44"/>
  <c r="EG44"/>
  <c r="EH44"/>
  <c r="EI44"/>
  <c r="EJ44"/>
  <c r="EL44"/>
  <c r="F45"/>
  <c r="G45"/>
  <c r="I45"/>
  <c r="I44" s="1"/>
  <c r="K45"/>
  <c r="L45"/>
  <c r="M45"/>
  <c r="DM45" s="1"/>
  <c r="N45"/>
  <c r="O45"/>
  <c r="P45"/>
  <c r="Q45"/>
  <c r="R45"/>
  <c r="S45"/>
  <c r="T45"/>
  <c r="U45"/>
  <c r="V45"/>
  <c r="W45"/>
  <c r="X45"/>
  <c r="Z45"/>
  <c r="Z44" s="1"/>
  <c r="BR45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Z46"/>
  <c r="BR46"/>
  <c r="E47"/>
  <c r="F47"/>
  <c r="G47"/>
  <c r="H47"/>
  <c r="I47"/>
  <c r="J47"/>
  <c r="L47"/>
  <c r="M47"/>
  <c r="N47"/>
  <c r="O47"/>
  <c r="R47"/>
  <c r="S47"/>
  <c r="U47"/>
  <c r="AB47" s="1"/>
  <c r="BR47"/>
  <c r="F48"/>
  <c r="G48"/>
  <c r="I48"/>
  <c r="T48"/>
  <c r="EK48" s="1"/>
  <c r="AA48"/>
  <c r="AB48" s="1"/>
  <c r="BR48"/>
  <c r="CP48"/>
  <c r="DM48"/>
  <c r="F49"/>
  <c r="G49"/>
  <c r="I49"/>
  <c r="T49"/>
  <c r="BR49"/>
  <c r="AA50"/>
  <c r="AB50" s="1"/>
  <c r="BR50"/>
  <c r="CP50"/>
  <c r="DM50"/>
  <c r="EK50"/>
  <c r="N51"/>
  <c r="Z51"/>
  <c r="EK51" s="1"/>
  <c r="BR51"/>
  <c r="E52"/>
  <c r="AA52" s="1"/>
  <c r="AB52" s="1"/>
  <c r="BR52"/>
  <c r="CP52"/>
  <c r="DM52"/>
  <c r="EK52"/>
  <c r="E53"/>
  <c r="F53"/>
  <c r="F69" s="1"/>
  <c r="G53"/>
  <c r="H53"/>
  <c r="H69" s="1"/>
  <c r="I53"/>
  <c r="J53"/>
  <c r="J69" s="1"/>
  <c r="K53"/>
  <c r="L53"/>
  <c r="L69" s="1"/>
  <c r="M53"/>
  <c r="N53"/>
  <c r="N69" s="1"/>
  <c r="O53"/>
  <c r="P53"/>
  <c r="EK53" s="1"/>
  <c r="Q53"/>
  <c r="R53"/>
  <c r="R69" s="1"/>
  <c r="S53"/>
  <c r="T53"/>
  <c r="T69" s="1"/>
  <c r="U53"/>
  <c r="V53"/>
  <c r="V69" s="1"/>
  <c r="W53"/>
  <c r="X53"/>
  <c r="X69" s="1"/>
  <c r="Z53"/>
  <c r="AA53"/>
  <c r="AB53" s="1"/>
  <c r="BR53"/>
  <c r="Q54"/>
  <c r="CP54" s="1"/>
  <c r="BR54"/>
  <c r="DM54"/>
  <c r="O55"/>
  <c r="BR55"/>
  <c r="AA56"/>
  <c r="AB56" s="1"/>
  <c r="BR56"/>
  <c r="CP56"/>
  <c r="DM56"/>
  <c r="EK56"/>
  <c r="I57"/>
  <c r="I73" s="1"/>
  <c r="J57"/>
  <c r="Q57"/>
  <c r="DM57" s="1"/>
  <c r="T57"/>
  <c r="Z57"/>
  <c r="Z73" s="1"/>
  <c r="BR57"/>
  <c r="J58"/>
  <c r="J74" s="1"/>
  <c r="K58"/>
  <c r="T58"/>
  <c r="T74" s="1"/>
  <c r="CP74" s="1"/>
  <c r="U58"/>
  <c r="W58"/>
  <c r="Z58"/>
  <c r="BR58"/>
  <c r="F59"/>
  <c r="P61"/>
  <c r="Q61"/>
  <c r="R61"/>
  <c r="S61"/>
  <c r="T61"/>
  <c r="BR61"/>
  <c r="E62"/>
  <c r="F62"/>
  <c r="G62"/>
  <c r="H62"/>
  <c r="P62"/>
  <c r="R62"/>
  <c r="S62"/>
  <c r="T62"/>
  <c r="BR62"/>
  <c r="E63"/>
  <c r="F63"/>
  <c r="G63"/>
  <c r="H63"/>
  <c r="P63"/>
  <c r="R63"/>
  <c r="S63"/>
  <c r="T63"/>
  <c r="BR63"/>
  <c r="BR64"/>
  <c r="Q65"/>
  <c r="S65"/>
  <c r="T65"/>
  <c r="BR65"/>
  <c r="BR66"/>
  <c r="BR67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Z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T68"/>
  <c r="BU68"/>
  <c r="BV68"/>
  <c r="BW68"/>
  <c r="BX68"/>
  <c r="BY68"/>
  <c r="BZ68"/>
  <c r="CA68"/>
  <c r="CB68"/>
  <c r="CC68"/>
  <c r="CD68"/>
  <c r="CE68"/>
  <c r="CF68"/>
  <c r="CG68"/>
  <c r="CH68"/>
  <c r="CI68"/>
  <c r="CJ68"/>
  <c r="CK68"/>
  <c r="CL68"/>
  <c r="CM68"/>
  <c r="CN68"/>
  <c r="CO68"/>
  <c r="CR68"/>
  <c r="CS68"/>
  <c r="CT68"/>
  <c r="CU68"/>
  <c r="CV68"/>
  <c r="CW68"/>
  <c r="CX68"/>
  <c r="CY68"/>
  <c r="CZ68"/>
  <c r="DA68"/>
  <c r="DB68"/>
  <c r="DC68"/>
  <c r="DD68"/>
  <c r="DE68"/>
  <c r="DF68"/>
  <c r="DG68"/>
  <c r="DH68"/>
  <c r="DI68"/>
  <c r="DJ68"/>
  <c r="DK68"/>
  <c r="DL68"/>
  <c r="DO68"/>
  <c r="DP68"/>
  <c r="DQ68"/>
  <c r="DR68"/>
  <c r="DS68"/>
  <c r="DT68"/>
  <c r="DU68"/>
  <c r="DV68"/>
  <c r="DW68"/>
  <c r="DX68"/>
  <c r="DY68"/>
  <c r="DZ68"/>
  <c r="EA68"/>
  <c r="EB68"/>
  <c r="EC68"/>
  <c r="ED68"/>
  <c r="EE68"/>
  <c r="EF68"/>
  <c r="EG68"/>
  <c r="EH68"/>
  <c r="EI68"/>
  <c r="EJ68"/>
  <c r="E69"/>
  <c r="G69"/>
  <c r="I69"/>
  <c r="K69"/>
  <c r="M69"/>
  <c r="O69"/>
  <c r="Q69"/>
  <c r="S69"/>
  <c r="U69"/>
  <c r="W69"/>
  <c r="Z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T69"/>
  <c r="BU69"/>
  <c r="BV69"/>
  <c r="BW69"/>
  <c r="BX69"/>
  <c r="BY69"/>
  <c r="BZ69"/>
  <c r="CA69"/>
  <c r="CB69"/>
  <c r="CC69"/>
  <c r="CD69"/>
  <c r="CE69"/>
  <c r="CF69"/>
  <c r="CG69"/>
  <c r="CH69"/>
  <c r="CI69"/>
  <c r="CJ69"/>
  <c r="CK69"/>
  <c r="CL69"/>
  <c r="CM69"/>
  <c r="CN69"/>
  <c r="CO69"/>
  <c r="CR69"/>
  <c r="CS69"/>
  <c r="CT69"/>
  <c r="CU69"/>
  <c r="CV69"/>
  <c r="CW69"/>
  <c r="CX69"/>
  <c r="CY69"/>
  <c r="CZ69"/>
  <c r="DA69"/>
  <c r="DB69"/>
  <c r="DC69"/>
  <c r="DD69"/>
  <c r="DE69"/>
  <c r="DF69"/>
  <c r="DG69"/>
  <c r="DH69"/>
  <c r="DI69"/>
  <c r="DJ69"/>
  <c r="DK69"/>
  <c r="DL69"/>
  <c r="DO69"/>
  <c r="DP69"/>
  <c r="DQ69"/>
  <c r="DR69"/>
  <c r="DS69"/>
  <c r="DT69"/>
  <c r="DU69"/>
  <c r="DV69"/>
  <c r="DW69"/>
  <c r="DX69"/>
  <c r="DY69"/>
  <c r="DZ69"/>
  <c r="EA69"/>
  <c r="EB69"/>
  <c r="EC69"/>
  <c r="ED69"/>
  <c r="EE69"/>
  <c r="EF69"/>
  <c r="EG69"/>
  <c r="EH69"/>
  <c r="EI69"/>
  <c r="EJ69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Z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N70"/>
  <c r="CO70"/>
  <c r="CR70"/>
  <c r="CS70"/>
  <c r="CT70"/>
  <c r="CU70"/>
  <c r="CV70"/>
  <c r="CW70"/>
  <c r="CX70"/>
  <c r="CY70"/>
  <c r="CZ70"/>
  <c r="DA70"/>
  <c r="DB70"/>
  <c r="DC70"/>
  <c r="DD70"/>
  <c r="DE70"/>
  <c r="DF70"/>
  <c r="DG70"/>
  <c r="DH70"/>
  <c r="DI70"/>
  <c r="DJ70"/>
  <c r="DK70"/>
  <c r="DL70"/>
  <c r="DO70"/>
  <c r="DP70"/>
  <c r="DQ70"/>
  <c r="DR70"/>
  <c r="DS70"/>
  <c r="DT70"/>
  <c r="DU70"/>
  <c r="DV70"/>
  <c r="DW70"/>
  <c r="DX70"/>
  <c r="DY70"/>
  <c r="DZ70"/>
  <c r="EA70"/>
  <c r="EB70"/>
  <c r="EC70"/>
  <c r="ED70"/>
  <c r="EE70"/>
  <c r="EF70"/>
  <c r="EG70"/>
  <c r="EH70"/>
  <c r="EI70"/>
  <c r="EJ70"/>
  <c r="BR71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Z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R72"/>
  <c r="CS72"/>
  <c r="CT72"/>
  <c r="CU72"/>
  <c r="CV72"/>
  <c r="CW72"/>
  <c r="CX72"/>
  <c r="CY72"/>
  <c r="CZ72"/>
  <c r="DA72"/>
  <c r="DB72"/>
  <c r="DC72"/>
  <c r="DD72"/>
  <c r="DE72"/>
  <c r="DF72"/>
  <c r="DG72"/>
  <c r="DH72"/>
  <c r="DI72"/>
  <c r="DJ72"/>
  <c r="DK72"/>
  <c r="DL72"/>
  <c r="DO72"/>
  <c r="DP72"/>
  <c r="DQ72"/>
  <c r="DR72"/>
  <c r="DS72"/>
  <c r="DT72"/>
  <c r="DU72"/>
  <c r="DV72"/>
  <c r="DW72"/>
  <c r="DX72"/>
  <c r="DY72"/>
  <c r="DZ72"/>
  <c r="EA72"/>
  <c r="EB72"/>
  <c r="EC72"/>
  <c r="ED72"/>
  <c r="EE72"/>
  <c r="EF72"/>
  <c r="EG72"/>
  <c r="EH72"/>
  <c r="EI72"/>
  <c r="EJ72"/>
  <c r="EK72"/>
  <c r="E73"/>
  <c r="F73"/>
  <c r="G73"/>
  <c r="H73"/>
  <c r="J73"/>
  <c r="K73"/>
  <c r="L73"/>
  <c r="M73"/>
  <c r="N73"/>
  <c r="O73"/>
  <c r="P73"/>
  <c r="R73"/>
  <c r="S73"/>
  <c r="T73"/>
  <c r="U73"/>
  <c r="V73"/>
  <c r="W73"/>
  <c r="X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T73"/>
  <c r="BU73"/>
  <c r="BV73"/>
  <c r="BW73"/>
  <c r="BX73"/>
  <c r="BY73"/>
  <c r="BZ73"/>
  <c r="CA73"/>
  <c r="CB73"/>
  <c r="CC73"/>
  <c r="CD73"/>
  <c r="CE73"/>
  <c r="CF73"/>
  <c r="CG73"/>
  <c r="CH73"/>
  <c r="CI73"/>
  <c r="CJ73"/>
  <c r="CK73"/>
  <c r="CL73"/>
  <c r="CM73"/>
  <c r="CN73"/>
  <c r="CO73"/>
  <c r="CR73"/>
  <c r="CS73"/>
  <c r="CT73"/>
  <c r="CU73"/>
  <c r="CV73"/>
  <c r="CW73"/>
  <c r="CX73"/>
  <c r="CY73"/>
  <c r="CZ73"/>
  <c r="DA73"/>
  <c r="DB73"/>
  <c r="DC73"/>
  <c r="DD73"/>
  <c r="DE73"/>
  <c r="DF73"/>
  <c r="DG73"/>
  <c r="DH73"/>
  <c r="DI73"/>
  <c r="DJ73"/>
  <c r="DK73"/>
  <c r="DL73"/>
  <c r="DO73"/>
  <c r="DP73"/>
  <c r="DQ73"/>
  <c r="DR73"/>
  <c r="DS73"/>
  <c r="DT73"/>
  <c r="DU73"/>
  <c r="DV73"/>
  <c r="DW73"/>
  <c r="DX73"/>
  <c r="DY73"/>
  <c r="DZ73"/>
  <c r="EA73"/>
  <c r="EB73"/>
  <c r="EC73"/>
  <c r="ED73"/>
  <c r="EE73"/>
  <c r="EF73"/>
  <c r="EG73"/>
  <c r="EH73"/>
  <c r="EI73"/>
  <c r="EJ73"/>
  <c r="E74"/>
  <c r="F74"/>
  <c r="G74"/>
  <c r="H74"/>
  <c r="I74"/>
  <c r="K74"/>
  <c r="L74"/>
  <c r="M74"/>
  <c r="N74"/>
  <c r="O74"/>
  <c r="P74"/>
  <c r="Q74"/>
  <c r="R74"/>
  <c r="S74"/>
  <c r="U74"/>
  <c r="V74"/>
  <c r="W74"/>
  <c r="X74"/>
  <c r="Z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R74"/>
  <c r="CS74"/>
  <c r="CT74"/>
  <c r="CU74"/>
  <c r="CV74"/>
  <c r="CW74"/>
  <c r="CX74"/>
  <c r="CY74"/>
  <c r="CZ74"/>
  <c r="DA74"/>
  <c r="DB74"/>
  <c r="DC74"/>
  <c r="DD74"/>
  <c r="DE74"/>
  <c r="DF74"/>
  <c r="DG74"/>
  <c r="DH74"/>
  <c r="DI74"/>
  <c r="DJ74"/>
  <c r="DK74"/>
  <c r="DL74"/>
  <c r="DO74"/>
  <c r="DP74"/>
  <c r="DQ74"/>
  <c r="DR74"/>
  <c r="DS74"/>
  <c r="DT74"/>
  <c r="DU74"/>
  <c r="DV74"/>
  <c r="DW74"/>
  <c r="DX74"/>
  <c r="DY74"/>
  <c r="DZ74"/>
  <c r="EA74"/>
  <c r="EB74"/>
  <c r="EC74"/>
  <c r="ED74"/>
  <c r="EE74"/>
  <c r="EF74"/>
  <c r="EG74"/>
  <c r="EH74"/>
  <c r="EI74"/>
  <c r="EJ74"/>
  <c r="D76"/>
  <c r="D6" s="1"/>
  <c r="E87" s="1"/>
  <c r="E77"/>
  <c r="F77"/>
  <c r="G77" s="1"/>
  <c r="E78"/>
  <c r="F78" s="1"/>
  <c r="G78" s="1"/>
  <c r="H78" s="1"/>
  <c r="E79"/>
  <c r="F79" s="1"/>
  <c r="G79" s="1"/>
  <c r="E80"/>
  <c r="E81"/>
  <c r="F81" s="1"/>
  <c r="G81" s="1"/>
  <c r="H81" s="1"/>
  <c r="E84"/>
  <c r="F84"/>
  <c r="G84" s="1"/>
  <c r="H84" s="1"/>
  <c r="C85"/>
  <c r="AU46" l="1"/>
  <c r="AU45"/>
  <c r="AU49"/>
  <c r="AU53"/>
  <c r="AU69"/>
  <c r="AM71"/>
  <c r="AM67"/>
  <c r="AM63"/>
  <c r="AM65"/>
  <c r="AM61"/>
  <c r="AM64"/>
  <c r="AM66"/>
  <c r="AM62"/>
  <c r="AA69"/>
  <c r="EK46"/>
  <c r="U44"/>
  <c r="DD22"/>
  <c r="CZ22"/>
  <c r="CV22"/>
  <c r="CR22"/>
  <c r="EK74"/>
  <c r="Q73"/>
  <c r="EK73" s="1"/>
  <c r="DM72"/>
  <c r="P69"/>
  <c r="DM68"/>
  <c r="E68"/>
  <c r="BR60"/>
  <c r="EK47"/>
  <c r="W44"/>
  <c r="BO22"/>
  <c r="BK22"/>
  <c r="BG22"/>
  <c r="BC22"/>
  <c r="AY22"/>
  <c r="EI22"/>
  <c r="EE22"/>
  <c r="EA22"/>
  <c r="DW22"/>
  <c r="DS22"/>
  <c r="DO22"/>
  <c r="CM22"/>
  <c r="CI22"/>
  <c r="CE22"/>
  <c r="CA22"/>
  <c r="BW22"/>
  <c r="BR22"/>
  <c r="BN22"/>
  <c r="BJ22"/>
  <c r="BF22"/>
  <c r="BB22"/>
  <c r="AX22"/>
  <c r="W22"/>
  <c r="S22"/>
  <c r="G22"/>
  <c r="DH22"/>
  <c r="F80"/>
  <c r="G80" s="1"/>
  <c r="H80" s="1"/>
  <c r="AA58"/>
  <c r="AB58" s="1"/>
  <c r="DM53"/>
  <c r="R44"/>
  <c r="L44"/>
  <c r="G44"/>
  <c r="DM46"/>
  <c r="AA46"/>
  <c r="AB46" s="1"/>
  <c r="X44"/>
  <c r="P44"/>
  <c r="AA45"/>
  <c r="AB45" s="1"/>
  <c r="E44"/>
  <c r="DM37"/>
  <c r="DJ22"/>
  <c r="DF22"/>
  <c r="DB22"/>
  <c r="CX22"/>
  <c r="CT22"/>
  <c r="DL22"/>
  <c r="CP51"/>
  <c r="BR44"/>
  <c r="CP32"/>
  <c r="BQ22"/>
  <c r="BM22"/>
  <c r="BI22"/>
  <c r="BE22"/>
  <c r="BA22"/>
  <c r="AW22"/>
  <c r="CO22"/>
  <c r="CK22"/>
  <c r="CG22"/>
  <c r="CC22"/>
  <c r="BY22"/>
  <c r="BU22"/>
  <c r="BP22"/>
  <c r="BL22"/>
  <c r="BH22"/>
  <c r="BD22"/>
  <c r="AZ22"/>
  <c r="AV22"/>
  <c r="Z22"/>
  <c r="U22"/>
  <c r="Q22"/>
  <c r="DM23"/>
  <c r="I22"/>
  <c r="AA23"/>
  <c r="CP16"/>
  <c r="DM73"/>
  <c r="AA68"/>
  <c r="DK22"/>
  <c r="DG22"/>
  <c r="DC22"/>
  <c r="CY22"/>
  <c r="CU22"/>
  <c r="H79"/>
  <c r="EK70"/>
  <c r="CP70"/>
  <c r="AA70"/>
  <c r="AB23"/>
  <c r="AB22" s="1"/>
  <c r="H77"/>
  <c r="DM74"/>
  <c r="AA74"/>
  <c r="CP72"/>
  <c r="AA72"/>
  <c r="DM69"/>
  <c r="EK68"/>
  <c r="AU23"/>
  <c r="CL22"/>
  <c r="CH22"/>
  <c r="CD22"/>
  <c r="BZ22"/>
  <c r="BV22"/>
  <c r="DM70"/>
  <c r="CP69"/>
  <c r="EK69"/>
  <c r="CP68"/>
  <c r="CP57"/>
  <c r="AA57"/>
  <c r="AB57" s="1"/>
  <c r="EK57"/>
  <c r="DM55"/>
  <c r="EK55"/>
  <c r="AA55"/>
  <c r="CP55"/>
  <c r="CP45"/>
  <c r="K44"/>
  <c r="J44"/>
  <c r="F44"/>
  <c r="EK45"/>
  <c r="DM58"/>
  <c r="EK58"/>
  <c r="CP58"/>
  <c r="EK49"/>
  <c r="CP49"/>
  <c r="DM49"/>
  <c r="T44"/>
  <c r="AA54"/>
  <c r="AB54" s="1"/>
  <c r="EK54"/>
  <c r="EK44" s="1"/>
  <c r="AA51"/>
  <c r="AB51" s="1"/>
  <c r="DM51"/>
  <c r="DM47"/>
  <c r="CP47"/>
  <c r="H44"/>
  <c r="AA47"/>
  <c r="O22"/>
  <c r="EK23"/>
  <c r="K22"/>
  <c r="CP23"/>
  <c r="CP22" s="1"/>
  <c r="DM18"/>
  <c r="CP18"/>
  <c r="AA18"/>
  <c r="CP53"/>
  <c r="S44"/>
  <c r="M44"/>
  <c r="BR14"/>
  <c r="DM32"/>
  <c r="DM22" s="1"/>
  <c r="EK32"/>
  <c r="AA49"/>
  <c r="AB49" s="1"/>
  <c r="N44"/>
  <c r="CP46"/>
  <c r="V44"/>
  <c r="Q44"/>
  <c r="AA32"/>
  <c r="AA22" s="1"/>
  <c r="EJ22"/>
  <c r="EF22"/>
  <c r="EB22"/>
  <c r="DX22"/>
  <c r="DT22"/>
  <c r="DP22"/>
  <c r="P22"/>
  <c r="CP38"/>
  <c r="EK37"/>
  <c r="M22"/>
  <c r="E22"/>
  <c r="O44"/>
  <c r="AA20"/>
  <c r="AA16"/>
  <c r="CP37"/>
  <c r="AM84" l="1"/>
  <c r="AM83"/>
  <c r="AM82"/>
  <c r="AM79"/>
  <c r="AM77"/>
  <c r="AM60"/>
  <c r="AM5" s="1"/>
  <c r="AN4" s="1"/>
  <c r="AM80"/>
  <c r="AM78"/>
  <c r="AM14"/>
  <c r="AM81"/>
  <c r="Q60"/>
  <c r="AA73"/>
  <c r="CP73"/>
  <c r="AB44"/>
  <c r="E86"/>
  <c r="E89" s="1"/>
  <c r="CP44"/>
  <c r="EK22"/>
  <c r="AA44"/>
  <c r="AU22"/>
  <c r="AU44"/>
  <c r="DM44"/>
  <c r="AM76" l="1"/>
  <c r="AM6" s="1"/>
  <c r="AN87" s="1"/>
  <c r="AN86"/>
  <c r="E66"/>
  <c r="E67"/>
  <c r="AN89" l="1"/>
  <c r="E82"/>
  <c r="E60"/>
  <c r="E5" s="1"/>
  <c r="F4" s="1"/>
  <c r="E83"/>
  <c r="AN62" l="1"/>
  <c r="AN61"/>
  <c r="AN65"/>
  <c r="AN67"/>
  <c r="AN66"/>
  <c r="AN64"/>
  <c r="AN71"/>
  <c r="AN63"/>
  <c r="F86"/>
  <c r="E76"/>
  <c r="E6" s="1"/>
  <c r="F87" s="1"/>
  <c r="AN84" l="1"/>
  <c r="AN14"/>
  <c r="AN81"/>
  <c r="AN79"/>
  <c r="AN82"/>
  <c r="AN78"/>
  <c r="AN80"/>
  <c r="AN60"/>
  <c r="AN5" s="1"/>
  <c r="AO4" s="1"/>
  <c r="AO86" s="1"/>
  <c r="AN77"/>
  <c r="AN83"/>
  <c r="F89"/>
  <c r="AN76" l="1"/>
  <c r="AN6" s="1"/>
  <c r="AO87" s="1"/>
  <c r="AO89" s="1"/>
  <c r="F67"/>
  <c r="F66"/>
  <c r="AO63" l="1"/>
  <c r="AO67"/>
  <c r="AO83" s="1"/>
  <c r="AO65"/>
  <c r="AO66"/>
  <c r="AO82" s="1"/>
  <c r="AO64"/>
  <c r="AO80" s="1"/>
  <c r="AO61"/>
  <c r="AO77" s="1"/>
  <c r="AO62"/>
  <c r="AO78" s="1"/>
  <c r="AO71"/>
  <c r="AO84" s="1"/>
  <c r="F60"/>
  <c r="F5" s="1"/>
  <c r="G4" s="1"/>
  <c r="F82"/>
  <c r="F83"/>
  <c r="AO79" l="1"/>
  <c r="AO60"/>
  <c r="AO5" s="1"/>
  <c r="AP4" s="1"/>
  <c r="AO14"/>
  <c r="AO81"/>
  <c r="G86"/>
  <c r="F76"/>
  <c r="F6" s="1"/>
  <c r="G87" s="1"/>
  <c r="AP86" l="1"/>
  <c r="AO76"/>
  <c r="AO6" s="1"/>
  <c r="AP87" s="1"/>
  <c r="G89"/>
  <c r="AP89" l="1"/>
  <c r="AP63" s="1"/>
  <c r="AP79" s="1"/>
  <c r="G67"/>
  <c r="G66"/>
  <c r="AP62" l="1"/>
  <c r="AP78" s="1"/>
  <c r="AP71"/>
  <c r="AP84" s="1"/>
  <c r="AP64"/>
  <c r="AP80" s="1"/>
  <c r="AP66"/>
  <c r="AP82" s="1"/>
  <c r="AP61"/>
  <c r="AP60" s="1"/>
  <c r="AP5" s="1"/>
  <c r="AQ4" s="1"/>
  <c r="AP67"/>
  <c r="AP83" s="1"/>
  <c r="AP65"/>
  <c r="AP14"/>
  <c r="AP81"/>
  <c r="G83"/>
  <c r="G60"/>
  <c r="G5" s="1"/>
  <c r="H4" s="1"/>
  <c r="G82"/>
  <c r="AP77" l="1"/>
  <c r="AP76" s="1"/>
  <c r="AP6" s="1"/>
  <c r="AQ87" s="1"/>
  <c r="AQ86"/>
  <c r="G76"/>
  <c r="G6" s="1"/>
  <c r="H87" s="1"/>
  <c r="H86"/>
  <c r="AQ89" l="1"/>
  <c r="AQ66" s="1"/>
  <c r="AQ82" s="1"/>
  <c r="H89"/>
  <c r="AQ65" l="1"/>
  <c r="AQ14" s="1"/>
  <c r="AQ71"/>
  <c r="AQ84" s="1"/>
  <c r="AQ63"/>
  <c r="AQ79" s="1"/>
  <c r="AQ67"/>
  <c r="AQ83" s="1"/>
  <c r="AQ61"/>
  <c r="AQ77" s="1"/>
  <c r="AQ64"/>
  <c r="AQ80" s="1"/>
  <c r="AQ62"/>
  <c r="AQ78" s="1"/>
  <c r="AQ81"/>
  <c r="AQ60"/>
  <c r="AQ5" s="1"/>
  <c r="AR4" s="1"/>
  <c r="H66"/>
  <c r="H67"/>
  <c r="AR86" l="1"/>
  <c r="AQ76"/>
  <c r="AQ6" s="1"/>
  <c r="AR87" s="1"/>
  <c r="H83"/>
  <c r="H60"/>
  <c r="H5" s="1"/>
  <c r="I4" s="1"/>
  <c r="H82"/>
  <c r="AR89" l="1"/>
  <c r="H76"/>
  <c r="H6" s="1"/>
  <c r="I87" s="1"/>
  <c r="I86"/>
  <c r="AR71" l="1"/>
  <c r="AR84" s="1"/>
  <c r="AR67"/>
  <c r="AR83" s="1"/>
  <c r="AR63"/>
  <c r="AR79" s="1"/>
  <c r="AR65"/>
  <c r="AR61"/>
  <c r="AR64"/>
  <c r="AR80" s="1"/>
  <c r="AR66"/>
  <c r="AR82" s="1"/>
  <c r="AR62"/>
  <c r="AR78" s="1"/>
  <c r="I89"/>
  <c r="AR77" l="1"/>
  <c r="AR60"/>
  <c r="AR5" s="1"/>
  <c r="AS4" s="1"/>
  <c r="AR81"/>
  <c r="AR14"/>
  <c r="I67"/>
  <c r="I83" s="1"/>
  <c r="I66"/>
  <c r="I82" s="1"/>
  <c r="I63"/>
  <c r="I64"/>
  <c r="I71"/>
  <c r="I61"/>
  <c r="I60" s="1"/>
  <c r="I5" s="1"/>
  <c r="J4" s="1"/>
  <c r="I65"/>
  <c r="I62"/>
  <c r="I84"/>
  <c r="I78"/>
  <c r="I79"/>
  <c r="I80"/>
  <c r="I77"/>
  <c r="I81"/>
  <c r="I14"/>
  <c r="AR76" l="1"/>
  <c r="AR6" s="1"/>
  <c r="AS87" s="1"/>
  <c r="AS86"/>
  <c r="I76"/>
  <c r="I6" s="1"/>
  <c r="J87" s="1"/>
  <c r="J86"/>
  <c r="AS89" l="1"/>
  <c r="J89"/>
  <c r="AS67" l="1"/>
  <c r="AS83" s="1"/>
  <c r="AS63"/>
  <c r="AS79" s="1"/>
  <c r="AS62"/>
  <c r="AS78" s="1"/>
  <c r="AS64"/>
  <c r="AS80" s="1"/>
  <c r="AS66"/>
  <c r="AS82" s="1"/>
  <c r="AS71"/>
  <c r="AS84" s="1"/>
  <c r="AS65"/>
  <c r="AS61"/>
  <c r="J61"/>
  <c r="J77" s="1"/>
  <c r="J63"/>
  <c r="J79" s="1"/>
  <c r="J62"/>
  <c r="J78" s="1"/>
  <c r="J66"/>
  <c r="J82" s="1"/>
  <c r="J64"/>
  <c r="J80" s="1"/>
  <c r="J67"/>
  <c r="J83" s="1"/>
  <c r="J71"/>
  <c r="J65"/>
  <c r="J81" s="1"/>
  <c r="J14"/>
  <c r="J84"/>
  <c r="J60"/>
  <c r="J5" s="1"/>
  <c r="K4" s="1"/>
  <c r="AS81" l="1"/>
  <c r="AS14"/>
  <c r="AS60"/>
  <c r="AS5" s="1"/>
  <c r="AT4" s="1"/>
  <c r="AS77"/>
  <c r="CP4"/>
  <c r="K86"/>
  <c r="J76"/>
  <c r="J6" s="1"/>
  <c r="K87" s="1"/>
  <c r="AT86" l="1"/>
  <c r="AS76"/>
  <c r="AS6" s="1"/>
  <c r="AT87" s="1"/>
  <c r="K89"/>
  <c r="K62" s="1"/>
  <c r="AT89" l="1"/>
  <c r="K61"/>
  <c r="K77" s="1"/>
  <c r="K67"/>
  <c r="K65"/>
  <c r="K63"/>
  <c r="K64"/>
  <c r="K80" s="1"/>
  <c r="K66"/>
  <c r="K71"/>
  <c r="K83"/>
  <c r="K81"/>
  <c r="K14"/>
  <c r="K79"/>
  <c r="K84"/>
  <c r="K78"/>
  <c r="K82"/>
  <c r="AT62" l="1"/>
  <c r="AT64"/>
  <c r="AT67"/>
  <c r="AT63"/>
  <c r="AT66"/>
  <c r="AT71"/>
  <c r="AT61"/>
  <c r="AT65"/>
  <c r="K60"/>
  <c r="K5" s="1"/>
  <c r="L4" s="1"/>
  <c r="L86" s="1"/>
  <c r="L89" s="1"/>
  <c r="K76"/>
  <c r="K6" s="1"/>
  <c r="L87" s="1"/>
  <c r="AT60" l="1"/>
  <c r="AT5" s="1"/>
  <c r="AU61"/>
  <c r="AT77"/>
  <c r="AT83"/>
  <c r="AU83" s="1"/>
  <c r="AU67"/>
  <c r="AU65"/>
  <c r="AT14"/>
  <c r="AT81"/>
  <c r="AU81" s="1"/>
  <c r="AU66"/>
  <c r="AT82"/>
  <c r="AU82" s="1"/>
  <c r="AU62"/>
  <c r="AT78"/>
  <c r="AU78" s="1"/>
  <c r="AU71"/>
  <c r="AT84"/>
  <c r="AU84" s="1"/>
  <c r="AU64"/>
  <c r="AT80"/>
  <c r="AU80" s="1"/>
  <c r="AT79"/>
  <c r="AU79" s="1"/>
  <c r="AU63"/>
  <c r="L62"/>
  <c r="L78" s="1"/>
  <c r="L66"/>
  <c r="L82" s="1"/>
  <c r="L71"/>
  <c r="L63"/>
  <c r="L64"/>
  <c r="L84"/>
  <c r="L67"/>
  <c r="L61"/>
  <c r="L65"/>
  <c r="AT76" l="1"/>
  <c r="AT6" s="1"/>
  <c r="AU77"/>
  <c r="L14"/>
  <c r="L81"/>
  <c r="L80"/>
  <c r="L83"/>
  <c r="L60"/>
  <c r="L5" s="1"/>
  <c r="M4" s="1"/>
  <c r="L77"/>
  <c r="L79"/>
  <c r="DM4" l="1"/>
  <c r="M86"/>
  <c r="L76"/>
  <c r="L6" s="1"/>
  <c r="M87" s="1"/>
  <c r="M89" l="1"/>
  <c r="M66" l="1"/>
  <c r="M62"/>
  <c r="M71"/>
  <c r="M61"/>
  <c r="M64"/>
  <c r="M65"/>
  <c r="M67"/>
  <c r="M63"/>
  <c r="M80" l="1"/>
  <c r="M82"/>
  <c r="M81"/>
  <c r="M14"/>
  <c r="M78"/>
  <c r="M84"/>
  <c r="M83"/>
  <c r="M79"/>
  <c r="M60"/>
  <c r="M5" s="1"/>
  <c r="N4" s="1"/>
  <c r="M77"/>
  <c r="N86" l="1"/>
  <c r="M76"/>
  <c r="M6" s="1"/>
  <c r="N87" s="1"/>
  <c r="N89" l="1"/>
  <c r="N61" l="1"/>
  <c r="N71"/>
  <c r="N65"/>
  <c r="N63"/>
  <c r="N67"/>
  <c r="N62"/>
  <c r="N66"/>
  <c r="N64"/>
  <c r="N83" l="1"/>
  <c r="N78"/>
  <c r="N84"/>
  <c r="N14"/>
  <c r="N81"/>
  <c r="N60"/>
  <c r="N5" s="1"/>
  <c r="O4" s="1"/>
  <c r="N77"/>
  <c r="N82"/>
  <c r="N80"/>
  <c r="N79"/>
  <c r="EK4" l="1"/>
  <c r="O86"/>
  <c r="N76"/>
  <c r="N6" s="1"/>
  <c r="O87" s="1"/>
  <c r="O89" l="1"/>
  <c r="O61" l="1"/>
  <c r="O65"/>
  <c r="O62"/>
  <c r="O63"/>
  <c r="O66"/>
  <c r="O67"/>
  <c r="O71"/>
  <c r="O64"/>
  <c r="O60" l="1"/>
  <c r="O5" s="1"/>
  <c r="P4" s="1"/>
  <c r="O77"/>
  <c r="O78"/>
  <c r="P78" s="1"/>
  <c r="Q78" s="1"/>
  <c r="R78" s="1"/>
  <c r="S78" s="1"/>
  <c r="T78" s="1"/>
  <c r="O82"/>
  <c r="O83"/>
  <c r="P83" s="1"/>
  <c r="Q83" s="1"/>
  <c r="R83" s="1"/>
  <c r="O81"/>
  <c r="P81" s="1"/>
  <c r="Q81" s="1"/>
  <c r="R81" s="1"/>
  <c r="S81" s="1"/>
  <c r="T81" s="1"/>
  <c r="O14"/>
  <c r="P14" s="1"/>
  <c r="Q14" s="1"/>
  <c r="R14" s="1"/>
  <c r="S14" s="1"/>
  <c r="T14" s="1"/>
  <c r="O84"/>
  <c r="P84" s="1"/>
  <c r="Q84" s="1"/>
  <c r="R84" s="1"/>
  <c r="S84" s="1"/>
  <c r="T84" s="1"/>
  <c r="O80"/>
  <c r="P80" s="1"/>
  <c r="Q80" s="1"/>
  <c r="R80" s="1"/>
  <c r="S80" s="1"/>
  <c r="T80" s="1"/>
  <c r="O79"/>
  <c r="P79" s="1"/>
  <c r="Q79" s="1"/>
  <c r="R79" s="1"/>
  <c r="S79" s="1"/>
  <c r="T79" s="1"/>
  <c r="P86" l="1"/>
  <c r="O76"/>
  <c r="O6" s="1"/>
  <c r="P87" s="1"/>
  <c r="P77"/>
  <c r="P89" l="1"/>
  <c r="P66" s="1"/>
  <c r="Q77"/>
  <c r="P60" l="1"/>
  <c r="P5" s="1"/>
  <c r="Q4" s="1"/>
  <c r="P82"/>
  <c r="R77"/>
  <c r="Q5" l="1"/>
  <c r="R4" s="1"/>
  <c r="Q86"/>
  <c r="S77"/>
  <c r="Q82"/>
  <c r="P76"/>
  <c r="P6" s="1"/>
  <c r="Q87" s="1"/>
  <c r="Q89" l="1"/>
  <c r="Q76"/>
  <c r="Q6" s="1"/>
  <c r="R87" s="1"/>
  <c r="R86"/>
  <c r="R89" s="1"/>
  <c r="R66" s="1"/>
  <c r="T77"/>
  <c r="R60" l="1"/>
  <c r="R5" s="1"/>
  <c r="S4" s="1"/>
  <c r="R82"/>
  <c r="S86" l="1"/>
  <c r="R76"/>
  <c r="R6" s="1"/>
  <c r="S87" s="1"/>
  <c r="S89" l="1"/>
  <c r="S67" l="1"/>
  <c r="S66"/>
  <c r="S83" l="1"/>
  <c r="S60"/>
  <c r="S5" s="1"/>
  <c r="T4" s="1"/>
  <c r="S82"/>
  <c r="S76" l="1"/>
  <c r="S6" s="1"/>
  <c r="T87" s="1"/>
  <c r="T86"/>
  <c r="T89" l="1"/>
  <c r="T66" l="1"/>
  <c r="T67"/>
  <c r="T83" l="1"/>
  <c r="T60"/>
  <c r="T5" s="1"/>
  <c r="U4" s="1"/>
  <c r="T82"/>
  <c r="T76" l="1"/>
  <c r="T6" s="1"/>
  <c r="U87" s="1"/>
  <c r="U86"/>
  <c r="U89" l="1"/>
  <c r="U66" s="1"/>
  <c r="U82" s="1"/>
  <c r="U71"/>
  <c r="U63"/>
  <c r="U61"/>
  <c r="U65" l="1"/>
  <c r="U14" s="1"/>
  <c r="U62"/>
  <c r="U60" s="1"/>
  <c r="U5" s="1"/>
  <c r="V4" s="1"/>
  <c r="U67"/>
  <c r="U64"/>
  <c r="U83"/>
  <c r="U79"/>
  <c r="U80"/>
  <c r="U81"/>
  <c r="U78"/>
  <c r="U77"/>
  <c r="U84"/>
  <c r="U76" l="1"/>
  <c r="U6" s="1"/>
  <c r="V87" s="1"/>
  <c r="V86"/>
  <c r="V89" s="1"/>
  <c r="V66" s="1"/>
  <c r="V82" s="1"/>
  <c r="V71" l="1"/>
  <c r="V84" s="1"/>
  <c r="V64"/>
  <c r="V80" s="1"/>
  <c r="V61"/>
  <c r="V65"/>
  <c r="V67"/>
  <c r="V63"/>
  <c r="V62"/>
  <c r="V79" l="1"/>
  <c r="V60"/>
  <c r="V5" s="1"/>
  <c r="W4" s="1"/>
  <c r="V77"/>
  <c r="V83"/>
  <c r="V78"/>
  <c r="V81"/>
  <c r="V14"/>
  <c r="V76" l="1"/>
  <c r="V6" s="1"/>
  <c r="W87" s="1"/>
  <c r="W86"/>
  <c r="W89" l="1"/>
  <c r="W67" s="1"/>
  <c r="W83" s="1"/>
  <c r="W71" l="1"/>
  <c r="W62"/>
  <c r="W65"/>
  <c r="W14" s="1"/>
  <c r="W64"/>
  <c r="W80" s="1"/>
  <c r="W61"/>
  <c r="W77" s="1"/>
  <c r="W63"/>
  <c r="W66"/>
  <c r="W82" s="1"/>
  <c r="W79"/>
  <c r="W78"/>
  <c r="W81"/>
  <c r="W84"/>
  <c r="W60" l="1"/>
  <c r="W5" s="1"/>
  <c r="X4" s="1"/>
  <c r="X86" s="1"/>
  <c r="W76"/>
  <c r="W6" s="1"/>
  <c r="X87" s="1"/>
  <c r="X89" l="1"/>
  <c r="X67" l="1"/>
  <c r="X83" s="1"/>
  <c r="X66"/>
  <c r="X82" s="1"/>
  <c r="X65"/>
  <c r="X64"/>
  <c r="X62"/>
  <c r="X61"/>
  <c r="X63"/>
  <c r="X71"/>
  <c r="X78" l="1"/>
  <c r="X60"/>
  <c r="X5" s="1"/>
  <c r="Z4" s="1"/>
  <c r="X77"/>
  <c r="X79"/>
  <c r="X81"/>
  <c r="X14"/>
  <c r="X84"/>
  <c r="X80"/>
  <c r="X76" l="1"/>
  <c r="X6" s="1"/>
  <c r="Z86"/>
  <c r="AU6" l="1"/>
  <c r="Z87"/>
  <c r="Z89" s="1"/>
  <c r="Z67" l="1"/>
  <c r="Z66"/>
  <c r="Z62"/>
  <c r="Z63"/>
  <c r="Z61"/>
  <c r="Z64"/>
  <c r="Z71"/>
  <c r="Z65"/>
  <c r="AA64" l="1"/>
  <c r="CP64"/>
  <c r="DM64"/>
  <c r="EK64"/>
  <c r="Z80"/>
  <c r="AA66"/>
  <c r="CP66"/>
  <c r="DM66"/>
  <c r="EK66"/>
  <c r="Z82"/>
  <c r="Z60"/>
  <c r="Z5" s="1"/>
  <c r="AA61"/>
  <c r="CP61"/>
  <c r="DM61"/>
  <c r="EK61"/>
  <c r="Z77"/>
  <c r="AA71"/>
  <c r="CP71"/>
  <c r="DM71"/>
  <c r="EK71"/>
  <c r="Z84"/>
  <c r="AA62"/>
  <c r="CP62"/>
  <c r="DM62"/>
  <c r="EK62"/>
  <c r="Z78"/>
  <c r="AA67"/>
  <c r="CP67"/>
  <c r="DM67"/>
  <c r="EK67"/>
  <c r="Z83"/>
  <c r="AA65"/>
  <c r="AA14" s="1"/>
  <c r="CP65"/>
  <c r="CP14" s="1"/>
  <c r="DM65"/>
  <c r="DM14" s="1"/>
  <c r="EK65"/>
  <c r="EK14" s="1"/>
  <c r="Z14"/>
  <c r="Z81"/>
  <c r="AA63"/>
  <c r="CP63"/>
  <c r="DM63"/>
  <c r="EK63"/>
  <c r="Z79"/>
  <c r="AA84" l="1"/>
  <c r="AA78"/>
  <c r="AA82"/>
  <c r="DM60"/>
  <c r="DM5" s="1"/>
  <c r="AA81"/>
  <c r="CP60"/>
  <c r="CP5" s="1"/>
  <c r="EK60"/>
  <c r="EK5" s="1"/>
  <c r="AA80"/>
  <c r="AA79"/>
  <c r="AA83"/>
  <c r="Z76"/>
  <c r="Z6" s="1"/>
  <c r="AA77"/>
  <c r="AA60"/>
  <c r="AA5" s="1"/>
  <c r="AA6" l="1"/>
  <c r="AA76"/>
  <c r="AU4" l="1"/>
  <c r="AU14" l="1"/>
  <c r="AU60" l="1"/>
  <c r="AU5" s="1"/>
  <c r="AU76" l="1"/>
  <c r="AV4" l="1"/>
  <c r="AV86" l="1"/>
  <c r="BR4"/>
  <c r="BR5" s="1"/>
  <c r="AV87" l="1"/>
  <c r="AV89" s="1"/>
  <c r="AV67" l="1"/>
  <c r="AV83" s="1"/>
  <c r="AV62"/>
  <c r="AV78" s="1"/>
  <c r="AV66"/>
  <c r="AV82" s="1"/>
  <c r="AV71"/>
  <c r="AV84" s="1"/>
  <c r="AV64"/>
  <c r="AV80" s="1"/>
  <c r="AV63"/>
  <c r="AV79" s="1"/>
  <c r="AV61"/>
  <c r="AV65"/>
  <c r="AV60" l="1"/>
  <c r="AV5" s="1"/>
  <c r="AW4" s="1"/>
  <c r="AV77"/>
  <c r="AV81"/>
  <c r="AV14"/>
  <c r="AV76" l="1"/>
  <c r="AV6" s="1"/>
  <c r="AW87" s="1"/>
  <c r="AW86"/>
  <c r="AW89" l="1"/>
  <c r="AW63" l="1"/>
  <c r="AW79" s="1"/>
  <c r="AW67"/>
  <c r="AW83" s="1"/>
  <c r="AW66"/>
  <c r="AW82" s="1"/>
  <c r="AW71"/>
  <c r="AW84" s="1"/>
  <c r="AW64"/>
  <c r="AW80" s="1"/>
  <c r="AW62"/>
  <c r="AW78" s="1"/>
  <c r="AW61"/>
  <c r="AW65"/>
  <c r="AW60" l="1"/>
  <c r="AW5" s="1"/>
  <c r="AX4" s="1"/>
  <c r="AW77"/>
  <c r="AW14"/>
  <c r="AW81"/>
  <c r="AX86" l="1"/>
  <c r="AW76"/>
  <c r="AW6" s="1"/>
  <c r="AX87" s="1"/>
  <c r="AX89" l="1"/>
  <c r="AX64" l="1"/>
  <c r="AX80" s="1"/>
  <c r="AX71"/>
  <c r="AX84" s="1"/>
  <c r="AX62"/>
  <c r="AX78" s="1"/>
  <c r="AX67"/>
  <c r="AX83" s="1"/>
  <c r="AX63"/>
  <c r="AX79" s="1"/>
  <c r="AX66"/>
  <c r="AX82" s="1"/>
  <c r="AX65"/>
  <c r="AX61"/>
  <c r="AX14" l="1"/>
  <c r="AX81"/>
  <c r="AX60"/>
  <c r="AX5" s="1"/>
  <c r="AY4" s="1"/>
  <c r="AX77"/>
  <c r="AX76" l="1"/>
  <c r="AX6" s="1"/>
  <c r="AY87" s="1"/>
  <c r="AY86"/>
  <c r="AY89" l="1"/>
  <c r="AY71" l="1"/>
  <c r="AY84" s="1"/>
  <c r="AY63"/>
  <c r="AY79" s="1"/>
  <c r="AY66"/>
  <c r="AY82" s="1"/>
  <c r="AY62"/>
  <c r="AY78" s="1"/>
  <c r="AY67"/>
  <c r="AY83" s="1"/>
  <c r="AY64"/>
  <c r="AY80" s="1"/>
  <c r="AY61"/>
  <c r="AY65"/>
  <c r="AY60" l="1"/>
  <c r="AY5" s="1"/>
  <c r="AZ4" s="1"/>
  <c r="AY77"/>
  <c r="AY81"/>
  <c r="AY14"/>
  <c r="AZ86" l="1"/>
  <c r="AY76"/>
  <c r="AY6" s="1"/>
  <c r="AZ87" s="1"/>
  <c r="AZ89" l="1"/>
  <c r="AZ63" l="1"/>
  <c r="AZ79" s="1"/>
  <c r="AZ64"/>
  <c r="AZ80" s="1"/>
  <c r="AZ71"/>
  <c r="AZ84" s="1"/>
  <c r="AZ62"/>
  <c r="AZ78" s="1"/>
  <c r="AZ67"/>
  <c r="AZ83" s="1"/>
  <c r="AZ66"/>
  <c r="AZ82" s="1"/>
  <c r="AZ61"/>
  <c r="AZ65"/>
  <c r="AZ60" l="1"/>
  <c r="AZ5" s="1"/>
  <c r="BA4" s="1"/>
  <c r="AZ77"/>
  <c r="AZ14"/>
  <c r="AZ81"/>
  <c r="BA86" l="1"/>
  <c r="AZ76"/>
  <c r="AZ6" s="1"/>
  <c r="BA87" s="1"/>
  <c r="BA89" l="1"/>
  <c r="BA71" l="1"/>
  <c r="BA84" s="1"/>
  <c r="BA64"/>
  <c r="BA80" s="1"/>
  <c r="BA66"/>
  <c r="BA82" s="1"/>
  <c r="BA62"/>
  <c r="BA78" s="1"/>
  <c r="BA63"/>
  <c r="BA79" s="1"/>
  <c r="BA67"/>
  <c r="BA83" s="1"/>
  <c r="BA61"/>
  <c r="BA65"/>
  <c r="BA60" l="1"/>
  <c r="BA5" s="1"/>
  <c r="BB4" s="1"/>
  <c r="BA77"/>
  <c r="BA14"/>
  <c r="BA81"/>
  <c r="BB86" l="1"/>
  <c r="BB89" s="1"/>
  <c r="BA76"/>
  <c r="BA6" s="1"/>
  <c r="BB87" s="1"/>
  <c r="BB63" l="1"/>
  <c r="BB79" s="1"/>
  <c r="BB64"/>
  <c r="BB80" s="1"/>
  <c r="BB71"/>
  <c r="BB84" s="1"/>
  <c r="BB66"/>
  <c r="BB82" s="1"/>
  <c r="BB62"/>
  <c r="BB78" s="1"/>
  <c r="BB67"/>
  <c r="BB83" s="1"/>
  <c r="BB61"/>
  <c r="BB65"/>
  <c r="BB60" l="1"/>
  <c r="BB5" s="1"/>
  <c r="BC4" s="1"/>
  <c r="BB77"/>
  <c r="BB81"/>
  <c r="BB14"/>
  <c r="BC86" l="1"/>
  <c r="BB76"/>
  <c r="BB6" s="1"/>
  <c r="BC87" s="1"/>
  <c r="BC89" l="1"/>
  <c r="BC66"/>
  <c r="BC82" s="1"/>
  <c r="BC64"/>
  <c r="BC80" s="1"/>
  <c r="BC62"/>
  <c r="BC78" s="1"/>
  <c r="BC61" l="1"/>
  <c r="BC65"/>
  <c r="BC71"/>
  <c r="BC84" s="1"/>
  <c r="BC63"/>
  <c r="BC79" s="1"/>
  <c r="BC67"/>
  <c r="BC83" s="1"/>
  <c r="BC77" l="1"/>
  <c r="BC60"/>
  <c r="BC5" s="1"/>
  <c r="BD4" s="1"/>
  <c r="BD86" s="1"/>
  <c r="BC81"/>
  <c r="BC14"/>
  <c r="BC76" l="1"/>
  <c r="BC6" s="1"/>
  <c r="BD87" s="1"/>
  <c r="BD89" s="1"/>
  <c r="BD65" l="1"/>
  <c r="BD66"/>
  <c r="BD82" s="1"/>
  <c r="BD62"/>
  <c r="BD78" s="1"/>
  <c r="BD67"/>
  <c r="BD83" s="1"/>
  <c r="BD63"/>
  <c r="BD79" s="1"/>
  <c r="BD71"/>
  <c r="BD84" s="1"/>
  <c r="BD64"/>
  <c r="BD80" s="1"/>
  <c r="BD61"/>
  <c r="BD81" l="1"/>
  <c r="BD14"/>
  <c r="BD77"/>
  <c r="BD76" s="1"/>
  <c r="BD6" s="1"/>
  <c r="BE87" s="1"/>
  <c r="BD60"/>
  <c r="BD5" s="1"/>
  <c r="BE4" s="1"/>
  <c r="BE86" s="1"/>
  <c r="BE89" l="1"/>
  <c r="BE63" l="1"/>
  <c r="BE79" s="1"/>
  <c r="BE67"/>
  <c r="BE83" s="1"/>
  <c r="BE66"/>
  <c r="BE82" s="1"/>
  <c r="BE71"/>
  <c r="BE84" s="1"/>
  <c r="BE62"/>
  <c r="BE78" s="1"/>
  <c r="BE64"/>
  <c r="BE80" s="1"/>
  <c r="BE65"/>
  <c r="BE61"/>
  <c r="BE81" l="1"/>
  <c r="BE14"/>
  <c r="BE77"/>
  <c r="BE60"/>
  <c r="BE5" s="1"/>
  <c r="BF4" s="1"/>
  <c r="BF86" s="1"/>
  <c r="BE76" l="1"/>
  <c r="BE6" s="1"/>
  <c r="BF87" s="1"/>
  <c r="BF89" s="1"/>
  <c r="BF67" l="1"/>
  <c r="BF83" s="1"/>
  <c r="BF62"/>
  <c r="BF78" s="1"/>
  <c r="BF63"/>
  <c r="BF79" s="1"/>
  <c r="BF71"/>
  <c r="BF84" s="1"/>
  <c r="BF66"/>
  <c r="BF82" s="1"/>
  <c r="BF64"/>
  <c r="BF80" s="1"/>
  <c r="BF61"/>
  <c r="BF65"/>
  <c r="BF77" l="1"/>
  <c r="BF76" s="1"/>
  <c r="BF6" s="1"/>
  <c r="BG87" s="1"/>
  <c r="BF60"/>
  <c r="BF5" s="1"/>
  <c r="BG4" s="1"/>
  <c r="BG86" s="1"/>
  <c r="BF81"/>
  <c r="BF14"/>
  <c r="BG65" l="1"/>
  <c r="BG14" s="1"/>
  <c r="BG89"/>
  <c r="BG61"/>
  <c r="BG81"/>
  <c r="BG60" l="1"/>
  <c r="BG5" s="1"/>
  <c r="BH4" s="1"/>
  <c r="BG64"/>
  <c r="BG80" s="1"/>
  <c r="BG66"/>
  <c r="BG82" s="1"/>
  <c r="BG63"/>
  <c r="BG79" s="1"/>
  <c r="BG67"/>
  <c r="BG83" s="1"/>
  <c r="BG71"/>
  <c r="BG84" s="1"/>
  <c r="BG62"/>
  <c r="BG78" s="1"/>
  <c r="BG77"/>
  <c r="BG76" s="1"/>
  <c r="BG6" s="1"/>
  <c r="BH87" s="1"/>
  <c r="BH86"/>
  <c r="BH89" l="1"/>
  <c r="BH71" s="1"/>
  <c r="BH84" s="1"/>
  <c r="BH64"/>
  <c r="BH80" s="1"/>
  <c r="BH62"/>
  <c r="BH78" s="1"/>
  <c r="BH66"/>
  <c r="BH82" s="1"/>
  <c r="BH65"/>
  <c r="BH61"/>
  <c r="BH67" l="1"/>
  <c r="BH83" s="1"/>
  <c r="BH63"/>
  <c r="BH79" s="1"/>
  <c r="BH81"/>
  <c r="BH14"/>
  <c r="BH60"/>
  <c r="BH5" s="1"/>
  <c r="BI4" s="1"/>
  <c r="BH77"/>
  <c r="BI86" l="1"/>
  <c r="BH76"/>
  <c r="BH6" s="1"/>
  <c r="BI87" s="1"/>
  <c r="BI89" l="1"/>
  <c r="BI64" l="1"/>
  <c r="BI80" s="1"/>
  <c r="BI63"/>
  <c r="BI79" s="1"/>
  <c r="BI66"/>
  <c r="BI82" s="1"/>
  <c r="BI71"/>
  <c r="BI84" s="1"/>
  <c r="BI62"/>
  <c r="BI78" s="1"/>
  <c r="BI67"/>
  <c r="BI83" s="1"/>
  <c r="BI61"/>
  <c r="BI65"/>
  <c r="BI60" l="1"/>
  <c r="BI5" s="1"/>
  <c r="BJ4" s="1"/>
  <c r="BI77"/>
  <c r="BI14"/>
  <c r="BI81"/>
  <c r="BI76" l="1"/>
  <c r="BI6" s="1"/>
  <c r="BJ87" s="1"/>
  <c r="BJ86"/>
  <c r="BJ89" l="1"/>
  <c r="BJ61" s="1"/>
  <c r="BJ77" s="1"/>
  <c r="BJ64"/>
  <c r="BJ80" s="1"/>
  <c r="BJ63"/>
  <c r="BJ79" s="1"/>
  <c r="BJ71"/>
  <c r="BJ84" s="1"/>
  <c r="BJ62" l="1"/>
  <c r="BJ78" s="1"/>
  <c r="BJ67"/>
  <c r="BJ83" s="1"/>
  <c r="BJ60"/>
  <c r="BJ5" s="1"/>
  <c r="BK4" s="1"/>
  <c r="BJ66"/>
  <c r="BJ82" s="1"/>
  <c r="BJ65"/>
  <c r="BJ14" s="1"/>
  <c r="BK86"/>
  <c r="BJ76"/>
  <c r="BJ6" s="1"/>
  <c r="BK87" s="1"/>
  <c r="BJ81"/>
  <c r="BK65" l="1"/>
  <c r="BK14" s="1"/>
  <c r="BK89"/>
  <c r="BK81" l="1"/>
  <c r="BK67"/>
  <c r="BK83" s="1"/>
  <c r="BK71"/>
  <c r="BK84" s="1"/>
  <c r="BK61"/>
  <c r="BK63"/>
  <c r="BK79" s="1"/>
  <c r="BK66"/>
  <c r="BK82" s="1"/>
  <c r="BK62"/>
  <c r="BK78" s="1"/>
  <c r="BK64"/>
  <c r="BK80" s="1"/>
  <c r="BK60" l="1"/>
  <c r="BK5" s="1"/>
  <c r="BL4" s="1"/>
  <c r="BK77"/>
  <c r="BL86" l="1"/>
  <c r="BK76"/>
  <c r="BK6" s="1"/>
  <c r="BL87" s="1"/>
  <c r="BL89" l="1"/>
  <c r="BL71" l="1"/>
  <c r="BL84" s="1"/>
  <c r="BL63"/>
  <c r="BL79" s="1"/>
  <c r="BL64"/>
  <c r="BL80" s="1"/>
  <c r="BL67"/>
  <c r="BL83" s="1"/>
  <c r="BL65"/>
  <c r="BL66"/>
  <c r="BL82" s="1"/>
  <c r="BL62"/>
  <c r="BL78" s="1"/>
  <c r="BL61"/>
  <c r="BL14" l="1"/>
  <c r="BL81"/>
  <c r="BL60"/>
  <c r="BL5" s="1"/>
  <c r="BM4" s="1"/>
  <c r="BL77"/>
  <c r="BL76" l="1"/>
  <c r="BL6" s="1"/>
  <c r="BM87" s="1"/>
  <c r="BM86"/>
  <c r="BM89" s="1"/>
  <c r="BM65" s="1"/>
  <c r="BM61" l="1"/>
  <c r="BM77" s="1"/>
  <c r="BM14"/>
  <c r="BM81"/>
  <c r="BM71"/>
  <c r="BM84" s="1"/>
  <c r="BM66"/>
  <c r="BM82" s="1"/>
  <c r="BM64"/>
  <c r="BM80" s="1"/>
  <c r="BM67"/>
  <c r="BM83" s="1"/>
  <c r="BM62"/>
  <c r="BM78" s="1"/>
  <c r="BM63"/>
  <c r="BM79" s="1"/>
  <c r="BM60" l="1"/>
  <c r="BM5" s="1"/>
  <c r="BN4" s="1"/>
  <c r="BM76"/>
  <c r="BM6" s="1"/>
  <c r="BN87" s="1"/>
  <c r="BN86" l="1"/>
  <c r="BN89" s="1"/>
  <c r="BN65" l="1"/>
  <c r="BN64"/>
  <c r="BN80" s="1"/>
  <c r="BN61"/>
  <c r="BN71"/>
  <c r="BN84" s="1"/>
  <c r="BN63"/>
  <c r="BN79" s="1"/>
  <c r="BN62"/>
  <c r="BN78" s="1"/>
  <c r="BN67"/>
  <c r="BN83" s="1"/>
  <c r="BN66"/>
  <c r="BN82" s="1"/>
  <c r="BN81" l="1"/>
  <c r="BN14"/>
  <c r="BN60"/>
  <c r="BN5" s="1"/>
  <c r="BO4" s="1"/>
  <c r="BN77"/>
  <c r="BO86" l="1"/>
  <c r="BO89" s="1"/>
  <c r="BN76"/>
  <c r="BN6" s="1"/>
  <c r="BO87" s="1"/>
  <c r="BO64" l="1"/>
  <c r="BO80" s="1"/>
  <c r="BO66"/>
  <c r="BO82" s="1"/>
  <c r="BO62"/>
  <c r="BO78" s="1"/>
  <c r="BO67"/>
  <c r="BO83" s="1"/>
  <c r="BO63"/>
  <c r="BO79" s="1"/>
  <c r="BO71"/>
  <c r="BO84" s="1"/>
  <c r="BO61"/>
  <c r="BO65"/>
  <c r="BO60" l="1"/>
  <c r="BO5" s="1"/>
  <c r="BP4" s="1"/>
  <c r="BO77"/>
  <c r="BO81"/>
  <c r="BO14"/>
  <c r="BP86" l="1"/>
  <c r="BP89" s="1"/>
  <c r="BO76"/>
  <c r="BO6" s="1"/>
  <c r="BP87" s="1"/>
  <c r="BP63" l="1"/>
  <c r="BP79" s="1"/>
  <c r="BP66"/>
  <c r="BP82" s="1"/>
  <c r="BP64"/>
  <c r="BP80" s="1"/>
  <c r="BP67"/>
  <c r="BP83" s="1"/>
  <c r="BP62"/>
  <c r="BP78" s="1"/>
  <c r="BP71"/>
  <c r="BP84" s="1"/>
  <c r="BP65"/>
  <c r="BP61"/>
  <c r="BP14" l="1"/>
  <c r="BP81"/>
  <c r="BP60"/>
  <c r="BP5" s="1"/>
  <c r="BQ4" s="1"/>
  <c r="BP77"/>
  <c r="BP76" l="1"/>
  <c r="BP6" s="1"/>
  <c r="BQ87" s="1"/>
  <c r="BQ86"/>
  <c r="BQ89" l="1"/>
  <c r="BQ66" s="1"/>
  <c r="BQ82" s="1"/>
  <c r="BQ67"/>
  <c r="BQ83" s="1"/>
  <c r="BQ65"/>
  <c r="BQ64" l="1"/>
  <c r="BQ80" s="1"/>
  <c r="BR80" s="1"/>
  <c r="BQ71"/>
  <c r="BQ84" s="1"/>
  <c r="BQ62"/>
  <c r="BQ78" s="1"/>
  <c r="BQ63"/>
  <c r="BQ79" s="1"/>
  <c r="BQ61"/>
  <c r="BQ60" s="1"/>
  <c r="BQ5" s="1"/>
  <c r="BT4" s="1"/>
  <c r="BR84"/>
  <c r="BQ77"/>
  <c r="BR82"/>
  <c r="BR78"/>
  <c r="BR79"/>
  <c r="BQ81"/>
  <c r="BQ14"/>
  <c r="BR83"/>
  <c r="BR81" l="1"/>
  <c r="BT86"/>
  <c r="BQ76"/>
  <c r="BQ6" s="1"/>
  <c r="BT87" s="1"/>
  <c r="BR77"/>
  <c r="BR76" s="1"/>
  <c r="BT89" l="1"/>
  <c r="BT71" l="1"/>
  <c r="BT84" s="1"/>
  <c r="BT62"/>
  <c r="BT78" s="1"/>
  <c r="BT67"/>
  <c r="BT83" s="1"/>
  <c r="BT63"/>
  <c r="BT79" s="1"/>
  <c r="BT66"/>
  <c r="BT82" s="1"/>
  <c r="BT64"/>
  <c r="BT80" s="1"/>
  <c r="BT61"/>
  <c r="BT65"/>
  <c r="BT60" l="1"/>
  <c r="BT5" s="1"/>
  <c r="BU4" s="1"/>
  <c r="BT77"/>
  <c r="BT81"/>
  <c r="BT14"/>
  <c r="BU86" l="1"/>
  <c r="BT76"/>
  <c r="BT6" s="1"/>
  <c r="BU87" s="1"/>
  <c r="BU89" l="1"/>
  <c r="BU62" l="1"/>
  <c r="BU78" s="1"/>
  <c r="BU63"/>
  <c r="BU79" s="1"/>
  <c r="BU67"/>
  <c r="BU83" s="1"/>
  <c r="BU71"/>
  <c r="BU84" s="1"/>
  <c r="BU64"/>
  <c r="BU80" s="1"/>
  <c r="BU66"/>
  <c r="BU82" s="1"/>
  <c r="BU65"/>
  <c r="BU61"/>
  <c r="BU14" l="1"/>
  <c r="BU81"/>
  <c r="BU60"/>
  <c r="BU5" s="1"/>
  <c r="BV4" s="1"/>
  <c r="BU77"/>
  <c r="BU76" l="1"/>
  <c r="BU6" s="1"/>
  <c r="BV87" s="1"/>
  <c r="BV86"/>
  <c r="BV89" l="1"/>
  <c r="BV64" l="1"/>
  <c r="BV80" s="1"/>
  <c r="BV63"/>
  <c r="BV79" s="1"/>
  <c r="BV66"/>
  <c r="BV82" s="1"/>
  <c r="BV71"/>
  <c r="BV84" s="1"/>
  <c r="BV67"/>
  <c r="BV83" s="1"/>
  <c r="BV62"/>
  <c r="BV78" s="1"/>
  <c r="BV65"/>
  <c r="BV61"/>
  <c r="BV14" l="1"/>
  <c r="BV81"/>
  <c r="BV60"/>
  <c r="BV5" s="1"/>
  <c r="BW4" s="1"/>
  <c r="BV77"/>
  <c r="BV76" l="1"/>
  <c r="BV6" s="1"/>
  <c r="BW87" s="1"/>
  <c r="BW86"/>
  <c r="BW89" l="1"/>
  <c r="BW64" l="1"/>
  <c r="BW80" s="1"/>
  <c r="BW66"/>
  <c r="BW82" s="1"/>
  <c r="BW62"/>
  <c r="BW78" s="1"/>
  <c r="BW71"/>
  <c r="BW84" s="1"/>
  <c r="BW63"/>
  <c r="BW79" s="1"/>
  <c r="BW67"/>
  <c r="BW83" s="1"/>
  <c r="BW65"/>
  <c r="BW61"/>
  <c r="BW14" l="1"/>
  <c r="BW81"/>
  <c r="BW60"/>
  <c r="BW5" s="1"/>
  <c r="BX4" s="1"/>
  <c r="BW77"/>
  <c r="BW76" l="1"/>
  <c r="BW6" s="1"/>
  <c r="BX87" s="1"/>
  <c r="BX86"/>
  <c r="BX89" l="1"/>
  <c r="BX71" s="1"/>
  <c r="BX84" s="1"/>
  <c r="BX63"/>
  <c r="BX79" s="1"/>
  <c r="BX61"/>
  <c r="BX66" l="1"/>
  <c r="BX82" s="1"/>
  <c r="BX62"/>
  <c r="BX78" s="1"/>
  <c r="BX64"/>
  <c r="BX80" s="1"/>
  <c r="BX67"/>
  <c r="BX83" s="1"/>
  <c r="BX65"/>
  <c r="BX81" s="1"/>
  <c r="BX14"/>
  <c r="BX60"/>
  <c r="BX5" s="1"/>
  <c r="BY4" s="1"/>
  <c r="BX77"/>
  <c r="BY86" l="1"/>
  <c r="BX76"/>
  <c r="BX6" s="1"/>
  <c r="BY87" s="1"/>
  <c r="BY89" l="1"/>
  <c r="BY61" s="1"/>
  <c r="BY77" s="1"/>
  <c r="BY64"/>
  <c r="BY80" s="1"/>
  <c r="BY62"/>
  <c r="BY78" s="1"/>
  <c r="BY63"/>
  <c r="BY79" s="1"/>
  <c r="BY67"/>
  <c r="BY83" s="1"/>
  <c r="BY60"/>
  <c r="BY5" s="1"/>
  <c r="BZ4" s="1"/>
  <c r="BY65"/>
  <c r="BY71" l="1"/>
  <c r="BY84" s="1"/>
  <c r="BY66"/>
  <c r="BY82" s="1"/>
  <c r="BY76"/>
  <c r="BY6" s="1"/>
  <c r="BZ87" s="1"/>
  <c r="BZ86"/>
  <c r="BY14"/>
  <c r="BY81"/>
  <c r="BZ89" l="1"/>
  <c r="BZ66" s="1"/>
  <c r="BZ82" s="1"/>
  <c r="BZ71"/>
  <c r="BZ84" s="1"/>
  <c r="BZ62"/>
  <c r="BZ78" s="1"/>
  <c r="BZ61"/>
  <c r="BZ63"/>
  <c r="BZ79" s="1"/>
  <c r="BZ64" l="1"/>
  <c r="BZ80" s="1"/>
  <c r="BZ65"/>
  <c r="BZ67"/>
  <c r="BZ83" s="1"/>
  <c r="BZ60"/>
  <c r="BZ5" s="1"/>
  <c r="CA4" s="1"/>
  <c r="BZ77"/>
  <c r="BZ81" l="1"/>
  <c r="BZ14"/>
  <c r="CA86"/>
  <c r="BZ76"/>
  <c r="BZ6" s="1"/>
  <c r="CA87" s="1"/>
  <c r="CA89" l="1"/>
  <c r="CA66" l="1"/>
  <c r="CA82" s="1"/>
  <c r="CA65"/>
  <c r="CA71"/>
  <c r="CA84" s="1"/>
  <c r="CA67"/>
  <c r="CA83" s="1"/>
  <c r="CA62"/>
  <c r="CA78" s="1"/>
  <c r="CA64"/>
  <c r="CA80" s="1"/>
  <c r="CA63"/>
  <c r="CA79" s="1"/>
  <c r="CA61"/>
  <c r="CA14" l="1"/>
  <c r="CA81"/>
  <c r="CA60"/>
  <c r="CA5" s="1"/>
  <c r="CB4" s="1"/>
  <c r="CA77"/>
  <c r="CB86" l="1"/>
  <c r="CB89" s="1"/>
  <c r="CA76"/>
  <c r="CA6" s="1"/>
  <c r="CB87" s="1"/>
  <c r="CB71" l="1"/>
  <c r="CB84" s="1"/>
  <c r="CB64"/>
  <c r="CB80" s="1"/>
  <c r="CB63"/>
  <c r="CB79" s="1"/>
  <c r="CB62"/>
  <c r="CB78" s="1"/>
  <c r="CB67"/>
  <c r="CB83" s="1"/>
  <c r="CB66"/>
  <c r="CB82" s="1"/>
  <c r="CB61"/>
  <c r="CB65"/>
  <c r="CB60" l="1"/>
  <c r="CB5" s="1"/>
  <c r="CC4" s="1"/>
  <c r="CB77"/>
  <c r="CB14"/>
  <c r="CB81"/>
  <c r="CC86" l="1"/>
  <c r="CB76"/>
  <c r="CB6" s="1"/>
  <c r="CC87" s="1"/>
  <c r="CC89" l="1"/>
  <c r="CC71" l="1"/>
  <c r="CC84" s="1"/>
  <c r="CC66"/>
  <c r="CC82" s="1"/>
  <c r="CC67"/>
  <c r="CC83" s="1"/>
  <c r="CC64"/>
  <c r="CC80" s="1"/>
  <c r="CC62"/>
  <c r="CC78" s="1"/>
  <c r="CC63"/>
  <c r="CC79" s="1"/>
  <c r="CC61"/>
  <c r="CC65"/>
  <c r="CC60" l="1"/>
  <c r="CC5" s="1"/>
  <c r="CD4" s="1"/>
  <c r="CC77"/>
  <c r="CC14"/>
  <c r="CC81"/>
  <c r="CD86" l="1"/>
  <c r="CC76"/>
  <c r="CC6" s="1"/>
  <c r="CD87" s="1"/>
  <c r="CD89" l="1"/>
  <c r="CD66" l="1"/>
  <c r="CD82" s="1"/>
  <c r="CD64"/>
  <c r="CD80" s="1"/>
  <c r="CD71"/>
  <c r="CD84" s="1"/>
  <c r="CD62"/>
  <c r="CD78" s="1"/>
  <c r="CD63"/>
  <c r="CD79" s="1"/>
  <c r="CD67"/>
  <c r="CD83" s="1"/>
  <c r="CD65"/>
  <c r="CD61"/>
  <c r="CD81" l="1"/>
  <c r="CD14"/>
  <c r="CD60"/>
  <c r="CD5" s="1"/>
  <c r="CE4" s="1"/>
  <c r="CD77"/>
  <c r="CD76" l="1"/>
  <c r="CD6" s="1"/>
  <c r="CE87" s="1"/>
  <c r="CE86"/>
  <c r="CE89" l="1"/>
  <c r="CE64" l="1"/>
  <c r="CE80" s="1"/>
  <c r="CE66"/>
  <c r="CE82" s="1"/>
  <c r="CE62"/>
  <c r="CE78" s="1"/>
  <c r="CE63"/>
  <c r="CE79" s="1"/>
  <c r="CE67"/>
  <c r="CE83" s="1"/>
  <c r="CE71"/>
  <c r="CE84" s="1"/>
  <c r="CE65"/>
  <c r="CE61"/>
  <c r="CE14" l="1"/>
  <c r="CE81"/>
  <c r="CE60"/>
  <c r="CE5" s="1"/>
  <c r="CF4" s="1"/>
  <c r="CE77"/>
  <c r="CE76" l="1"/>
  <c r="CE6" s="1"/>
  <c r="CF87" s="1"/>
  <c r="CF86"/>
  <c r="CF89" l="1"/>
  <c r="CF62" l="1"/>
  <c r="CF78" s="1"/>
  <c r="CF66"/>
  <c r="CF82" s="1"/>
  <c r="CF67"/>
  <c r="CF83" s="1"/>
  <c r="CF64"/>
  <c r="CF80" s="1"/>
  <c r="CF71"/>
  <c r="CF84" s="1"/>
  <c r="CF63"/>
  <c r="CF79" s="1"/>
  <c r="CF61"/>
  <c r="CF65"/>
  <c r="CF60" l="1"/>
  <c r="CF5" s="1"/>
  <c r="CG4" s="1"/>
  <c r="CF77"/>
  <c r="CF81"/>
  <c r="CF14"/>
  <c r="CG86" l="1"/>
  <c r="CF76"/>
  <c r="CF6" s="1"/>
  <c r="CG87" s="1"/>
  <c r="CG89" l="1"/>
  <c r="CG66" l="1"/>
  <c r="CG82" s="1"/>
  <c r="CG62"/>
  <c r="CG78" s="1"/>
  <c r="CG71"/>
  <c r="CG84" s="1"/>
  <c r="CG67"/>
  <c r="CG83" s="1"/>
  <c r="CG63"/>
  <c r="CG79" s="1"/>
  <c r="CG64"/>
  <c r="CG80" s="1"/>
  <c r="CG65"/>
  <c r="CG61"/>
  <c r="CG81" l="1"/>
  <c r="CG14"/>
  <c r="CG60"/>
  <c r="CG5" s="1"/>
  <c r="CH4" s="1"/>
  <c r="CG77"/>
  <c r="CH86" l="1"/>
  <c r="CG76"/>
  <c r="CG6" s="1"/>
  <c r="CH87" s="1"/>
  <c r="CH89" l="1"/>
  <c r="CH71" l="1"/>
  <c r="CH84" s="1"/>
  <c r="CH67"/>
  <c r="CH83" s="1"/>
  <c r="CH63"/>
  <c r="CH79" s="1"/>
  <c r="CH62"/>
  <c r="CH78" s="1"/>
  <c r="CH66"/>
  <c r="CH82" s="1"/>
  <c r="CH64"/>
  <c r="CH80" s="1"/>
  <c r="CH61"/>
  <c r="CH65"/>
  <c r="CH60" l="1"/>
  <c r="CH5" s="1"/>
  <c r="CI4" s="1"/>
  <c r="CH77"/>
  <c r="CH81"/>
  <c r="CH14"/>
  <c r="CI86" l="1"/>
  <c r="CH76"/>
  <c r="CH6" s="1"/>
  <c r="CI87" s="1"/>
  <c r="CI89" l="1"/>
  <c r="CI62" l="1"/>
  <c r="CI78" s="1"/>
  <c r="CI64"/>
  <c r="CI80" s="1"/>
  <c r="CI66"/>
  <c r="CI82" s="1"/>
  <c r="CI63"/>
  <c r="CI79" s="1"/>
  <c r="CI67"/>
  <c r="CI83" s="1"/>
  <c r="CI71"/>
  <c r="CI84" s="1"/>
  <c r="CI65"/>
  <c r="CI61"/>
  <c r="CI14" l="1"/>
  <c r="CI81"/>
  <c r="CI60"/>
  <c r="CI5" s="1"/>
  <c r="CJ4" s="1"/>
  <c r="CI77"/>
  <c r="CJ86" l="1"/>
  <c r="CI76"/>
  <c r="CI6" s="1"/>
  <c r="CJ87" s="1"/>
  <c r="CJ89" l="1"/>
  <c r="CJ65" s="1"/>
  <c r="CJ14" s="1"/>
  <c r="CJ63"/>
  <c r="CJ79" s="1"/>
  <c r="CJ64"/>
  <c r="CJ80" s="1"/>
  <c r="CJ67" l="1"/>
  <c r="CJ83" s="1"/>
  <c r="CJ62"/>
  <c r="CJ78" s="1"/>
  <c r="CJ81"/>
  <c r="CJ61"/>
  <c r="CJ71"/>
  <c r="CJ84" s="1"/>
  <c r="CJ66"/>
  <c r="CJ82" s="1"/>
  <c r="CJ60"/>
  <c r="CJ5" s="1"/>
  <c r="CK4" s="1"/>
  <c r="CJ77"/>
  <c r="CJ76" l="1"/>
  <c r="CJ6" s="1"/>
  <c r="CK87" s="1"/>
  <c r="CK86"/>
  <c r="CK89" l="1"/>
  <c r="CK67" l="1"/>
  <c r="CK83" s="1"/>
  <c r="CK64"/>
  <c r="CK80" s="1"/>
  <c r="CK65"/>
  <c r="CK71"/>
  <c r="CK84" s="1"/>
  <c r="CK62"/>
  <c r="CK78" s="1"/>
  <c r="CK63"/>
  <c r="CK79" s="1"/>
  <c r="CK66"/>
  <c r="CK82" s="1"/>
  <c r="CK61"/>
  <c r="CK81" l="1"/>
  <c r="CK14"/>
  <c r="CK60"/>
  <c r="CK5" s="1"/>
  <c r="CL4" s="1"/>
  <c r="CK77"/>
  <c r="CL86" l="1"/>
  <c r="CK76"/>
  <c r="CK6" s="1"/>
  <c r="CL87" s="1"/>
  <c r="CL89" l="1"/>
  <c r="CL66" l="1"/>
  <c r="CL82" s="1"/>
  <c r="CL62"/>
  <c r="CL78" s="1"/>
  <c r="CL63"/>
  <c r="CL79" s="1"/>
  <c r="CL71"/>
  <c r="CL84" s="1"/>
  <c r="CL67"/>
  <c r="CL83" s="1"/>
  <c r="CL64"/>
  <c r="CL80" s="1"/>
  <c r="CL61"/>
  <c r="CL65"/>
  <c r="CL60" l="1"/>
  <c r="CL5" s="1"/>
  <c r="CM4" s="1"/>
  <c r="CL77"/>
  <c r="CL81"/>
  <c r="CL14"/>
  <c r="CM86" l="1"/>
  <c r="CL76"/>
  <c r="CL6" s="1"/>
  <c r="CM87" s="1"/>
  <c r="CM89" l="1"/>
  <c r="CM66" l="1"/>
  <c r="CM82" s="1"/>
  <c r="CM63"/>
  <c r="CM79" s="1"/>
  <c r="CM64"/>
  <c r="CM80" s="1"/>
  <c r="CM71"/>
  <c r="CM84" s="1"/>
  <c r="CM67"/>
  <c r="CM83" s="1"/>
  <c r="CM62"/>
  <c r="CM78" s="1"/>
  <c r="CM65"/>
  <c r="CM61"/>
  <c r="CM14" l="1"/>
  <c r="CM81"/>
  <c r="CM60"/>
  <c r="CM5" s="1"/>
  <c r="CN4" s="1"/>
  <c r="CM77"/>
  <c r="CM76" l="1"/>
  <c r="CM6" s="1"/>
  <c r="CN87" s="1"/>
  <c r="CN86"/>
  <c r="CN89" l="1"/>
  <c r="CN66" s="1"/>
  <c r="CN82" s="1"/>
  <c r="CN65"/>
  <c r="CN67" l="1"/>
  <c r="CN83" s="1"/>
  <c r="CN64"/>
  <c r="CN80" s="1"/>
  <c r="CN63"/>
  <c r="CN79" s="1"/>
  <c r="CN71"/>
  <c r="CN84" s="1"/>
  <c r="CN62"/>
  <c r="CN78" s="1"/>
  <c r="CN61"/>
  <c r="CN77" s="1"/>
  <c r="CN14"/>
  <c r="CN81"/>
  <c r="CN60" l="1"/>
  <c r="CN5" s="1"/>
  <c r="CO4" s="1"/>
  <c r="CO86" s="1"/>
  <c r="CO89" s="1"/>
  <c r="CO65" s="1"/>
  <c r="CN76"/>
  <c r="CN6" s="1"/>
  <c r="CO87" s="1"/>
  <c r="CO81" l="1"/>
  <c r="CO14"/>
  <c r="CO67"/>
  <c r="CO83" s="1"/>
  <c r="CO71"/>
  <c r="CO84" s="1"/>
  <c r="CO63"/>
  <c r="CO79" s="1"/>
  <c r="CO64"/>
  <c r="CO80" s="1"/>
  <c r="CO62"/>
  <c r="CO78" s="1"/>
  <c r="CO66"/>
  <c r="CO82" s="1"/>
  <c r="CO61"/>
  <c r="CO60" l="1"/>
  <c r="CO5" s="1"/>
  <c r="CR4" s="1"/>
  <c r="CO77"/>
  <c r="CP80"/>
  <c r="CP79"/>
  <c r="CP78"/>
  <c r="CP83"/>
  <c r="CP81"/>
  <c r="CP82"/>
  <c r="CP84"/>
  <c r="CP77" l="1"/>
  <c r="CP76" s="1"/>
  <c r="CO76"/>
  <c r="CO6" s="1"/>
  <c r="CR87" s="1"/>
  <c r="CR86"/>
  <c r="CR89" l="1"/>
  <c r="CR62" s="1"/>
  <c r="CR78" s="1"/>
  <c r="CR71"/>
  <c r="CR84" s="1"/>
  <c r="CR61"/>
  <c r="CR63" l="1"/>
  <c r="CR79" s="1"/>
  <c r="CR66"/>
  <c r="CR82" s="1"/>
  <c r="CR65"/>
  <c r="CR81" s="1"/>
  <c r="CR64"/>
  <c r="CR80" s="1"/>
  <c r="CR67"/>
  <c r="CR83" s="1"/>
  <c r="CR14"/>
  <c r="CR77"/>
  <c r="CR60" l="1"/>
  <c r="CR5" s="1"/>
  <c r="CS4" s="1"/>
  <c r="CS86" s="1"/>
  <c r="CR76"/>
  <c r="CR6" s="1"/>
  <c r="CS87" s="1"/>
  <c r="CS89" l="1"/>
  <c r="CS62" l="1"/>
  <c r="CS78" s="1"/>
  <c r="CS63"/>
  <c r="CS79" s="1"/>
  <c r="CS67"/>
  <c r="CS83" s="1"/>
  <c r="CS64"/>
  <c r="CS80" s="1"/>
  <c r="CS71"/>
  <c r="CS84" s="1"/>
  <c r="CS66"/>
  <c r="CS82" s="1"/>
  <c r="CS61"/>
  <c r="CS65"/>
  <c r="CS60" l="1"/>
  <c r="CS5" s="1"/>
  <c r="CT4" s="1"/>
  <c r="CS77"/>
  <c r="CS81"/>
  <c r="CS14"/>
  <c r="CT86" l="1"/>
  <c r="CS76"/>
  <c r="CS6" s="1"/>
  <c r="CT87" s="1"/>
  <c r="CT89" l="1"/>
  <c r="CT64" l="1"/>
  <c r="CT80" s="1"/>
  <c r="CT63"/>
  <c r="CT79" s="1"/>
  <c r="CT66"/>
  <c r="CT82" s="1"/>
  <c r="CT71"/>
  <c r="CT84" s="1"/>
  <c r="CT67"/>
  <c r="CT83" s="1"/>
  <c r="CT62"/>
  <c r="CT78" s="1"/>
  <c r="CT65"/>
  <c r="CT61"/>
  <c r="CT14" l="1"/>
  <c r="CT81"/>
  <c r="CT60"/>
  <c r="CT5" s="1"/>
  <c r="CU4" s="1"/>
  <c r="CT77"/>
  <c r="CU86" l="1"/>
  <c r="CT76"/>
  <c r="CT6" s="1"/>
  <c r="CU87" s="1"/>
  <c r="CU89" l="1"/>
  <c r="CU66" s="1"/>
  <c r="CU82" s="1"/>
  <c r="CU62"/>
  <c r="CU78" s="1"/>
  <c r="CU64"/>
  <c r="CU80" s="1"/>
  <c r="CU65"/>
  <c r="CU63" l="1"/>
  <c r="CU79" s="1"/>
  <c r="CU71"/>
  <c r="CU84" s="1"/>
  <c r="CU67"/>
  <c r="CU83" s="1"/>
  <c r="CU61"/>
  <c r="CU60"/>
  <c r="CU5" s="1"/>
  <c r="CV4" s="1"/>
  <c r="CU77"/>
  <c r="CU14"/>
  <c r="CU81"/>
  <c r="CV86" l="1"/>
  <c r="CU76"/>
  <c r="CU6" s="1"/>
  <c r="CV87" s="1"/>
  <c r="CV89" l="1"/>
  <c r="CV64" l="1"/>
  <c r="CV80" s="1"/>
  <c r="CV62"/>
  <c r="CV78" s="1"/>
  <c r="CV67"/>
  <c r="CV83" s="1"/>
  <c r="CV71"/>
  <c r="CV84" s="1"/>
  <c r="CV63"/>
  <c r="CV79" s="1"/>
  <c r="CV66"/>
  <c r="CV82" s="1"/>
  <c r="CV65"/>
  <c r="CV61"/>
  <c r="CV14" l="1"/>
  <c r="CV81"/>
  <c r="CV60"/>
  <c r="CV5" s="1"/>
  <c r="CW4" s="1"/>
  <c r="CV77"/>
  <c r="CV76" l="1"/>
  <c r="CV6" s="1"/>
  <c r="CW87" s="1"/>
  <c r="CW86"/>
  <c r="CW89" l="1"/>
  <c r="CW71" s="1"/>
  <c r="CW84" s="1"/>
  <c r="CW66"/>
  <c r="CW82" s="1"/>
  <c r="CW67"/>
  <c r="CW83" s="1"/>
  <c r="CW65"/>
  <c r="CW62" l="1"/>
  <c r="CW78" s="1"/>
  <c r="CW64"/>
  <c r="CW80" s="1"/>
  <c r="CW63"/>
  <c r="CW79" s="1"/>
  <c r="CW61"/>
  <c r="CW60"/>
  <c r="CW5" s="1"/>
  <c r="CX4" s="1"/>
  <c r="CW77"/>
  <c r="CW14"/>
  <c r="CW81"/>
  <c r="CX86" l="1"/>
  <c r="CW76"/>
  <c r="CW6" s="1"/>
  <c r="CX87" s="1"/>
  <c r="CX89" l="1"/>
  <c r="CX65" s="1"/>
  <c r="CX14" s="1"/>
  <c r="CX66"/>
  <c r="CX82" s="1"/>
  <c r="CX67"/>
  <c r="CX83" s="1"/>
  <c r="CX71"/>
  <c r="CX84" s="1"/>
  <c r="CX61" l="1"/>
  <c r="CX77" s="1"/>
  <c r="CX63"/>
  <c r="CX79" s="1"/>
  <c r="CX81"/>
  <c r="CX62"/>
  <c r="CX78" s="1"/>
  <c r="CX64"/>
  <c r="CX80" s="1"/>
  <c r="CX60" l="1"/>
  <c r="CX5" s="1"/>
  <c r="CY4" s="1"/>
  <c r="CY86" s="1"/>
  <c r="CY89" s="1"/>
  <c r="CX76"/>
  <c r="CX6" s="1"/>
  <c r="CY87" s="1"/>
  <c r="CY64" l="1"/>
  <c r="CY80" s="1"/>
  <c r="CY67"/>
  <c r="CY83" s="1"/>
  <c r="CY66"/>
  <c r="CY82" s="1"/>
  <c r="CY65"/>
  <c r="CY71"/>
  <c r="CY84" s="1"/>
  <c r="CY62"/>
  <c r="CY78" s="1"/>
  <c r="CY63"/>
  <c r="CY79" s="1"/>
  <c r="CY61"/>
  <c r="CY60" l="1"/>
  <c r="CY5" s="1"/>
  <c r="CZ4" s="1"/>
  <c r="CY77"/>
  <c r="CY14"/>
  <c r="CY81"/>
  <c r="CY76" l="1"/>
  <c r="CY6" s="1"/>
  <c r="CZ87" s="1"/>
  <c r="CZ86"/>
  <c r="CZ89" l="1"/>
  <c r="CZ65" s="1"/>
  <c r="CZ81" s="1"/>
  <c r="CZ67"/>
  <c r="CZ83" s="1"/>
  <c r="CZ66"/>
  <c r="CZ82" s="1"/>
  <c r="CZ63" l="1"/>
  <c r="CZ79" s="1"/>
  <c r="CZ62"/>
  <c r="CZ78" s="1"/>
  <c r="CZ14"/>
  <c r="CZ64"/>
  <c r="CZ80" s="1"/>
  <c r="CZ71"/>
  <c r="CZ84" s="1"/>
  <c r="CZ61"/>
  <c r="CZ77" s="1"/>
  <c r="CZ60"/>
  <c r="CZ5" s="1"/>
  <c r="DA4" s="1"/>
  <c r="CZ76" l="1"/>
  <c r="CZ6" s="1"/>
  <c r="DA87" s="1"/>
  <c r="DA86"/>
  <c r="DA89" l="1"/>
  <c r="DA65" s="1"/>
  <c r="DA62"/>
  <c r="DA78" s="1"/>
  <c r="DA71"/>
  <c r="DA84" s="1"/>
  <c r="DA61"/>
  <c r="DA64" l="1"/>
  <c r="DA80" s="1"/>
  <c r="DA63"/>
  <c r="DA79" s="1"/>
  <c r="DA67"/>
  <c r="DA83" s="1"/>
  <c r="DA66"/>
  <c r="DA82" s="1"/>
  <c r="DA14"/>
  <c r="DA81"/>
  <c r="DA77"/>
  <c r="DA60" l="1"/>
  <c r="DA5" s="1"/>
  <c r="DB4" s="1"/>
  <c r="DB86" s="1"/>
  <c r="DA76"/>
  <c r="DA6" s="1"/>
  <c r="DB87" s="1"/>
  <c r="DB89" l="1"/>
  <c r="DB62" l="1"/>
  <c r="DB78" s="1"/>
  <c r="DB67"/>
  <c r="DB83" s="1"/>
  <c r="DB66"/>
  <c r="DB82" s="1"/>
  <c r="DB63"/>
  <c r="DB79" s="1"/>
  <c r="DB71"/>
  <c r="DB84" s="1"/>
  <c r="DB64"/>
  <c r="DB80" s="1"/>
  <c r="DB65"/>
  <c r="DB61"/>
  <c r="DB81" l="1"/>
  <c r="DB14"/>
  <c r="DB60"/>
  <c r="DB5" s="1"/>
  <c r="DC4" s="1"/>
  <c r="DB77"/>
  <c r="DB76" l="1"/>
  <c r="DB6" s="1"/>
  <c r="DC87" s="1"/>
  <c r="DC86"/>
  <c r="DC89" l="1"/>
  <c r="DC71" s="1"/>
  <c r="DC84" s="1"/>
  <c r="DC63"/>
  <c r="DC79" s="1"/>
  <c r="DC64"/>
  <c r="DC80" s="1"/>
  <c r="DC61"/>
  <c r="DC67" l="1"/>
  <c r="DC83" s="1"/>
  <c r="DC66"/>
  <c r="DC82" s="1"/>
  <c r="DC62"/>
  <c r="DC78" s="1"/>
  <c r="DC65"/>
  <c r="DC14"/>
  <c r="DC81"/>
  <c r="DC60"/>
  <c r="DC5" s="1"/>
  <c r="DD4" s="1"/>
  <c r="DC77"/>
  <c r="DD86" l="1"/>
  <c r="DC76"/>
  <c r="DC6" s="1"/>
  <c r="DD87" s="1"/>
  <c r="DD89" l="1"/>
  <c r="DD66" l="1"/>
  <c r="DD82" s="1"/>
  <c r="DD67"/>
  <c r="DD83" s="1"/>
  <c r="DD62"/>
  <c r="DD78" s="1"/>
  <c r="DD63"/>
  <c r="DD79" s="1"/>
  <c r="DD71"/>
  <c r="DD84" s="1"/>
  <c r="DD64"/>
  <c r="DD80" s="1"/>
  <c r="DD61"/>
  <c r="DD65"/>
  <c r="DD60" l="1"/>
  <c r="DD5" s="1"/>
  <c r="DE4" s="1"/>
  <c r="DD77"/>
  <c r="DD81"/>
  <c r="DD14"/>
  <c r="DE86" l="1"/>
  <c r="DD76"/>
  <c r="DD6" s="1"/>
  <c r="DE87" s="1"/>
  <c r="DE89" l="1"/>
  <c r="DE63" l="1"/>
  <c r="DE79" s="1"/>
  <c r="DE64"/>
  <c r="DE80" s="1"/>
  <c r="DE66"/>
  <c r="DE82" s="1"/>
  <c r="DE71"/>
  <c r="DE84" s="1"/>
  <c r="DE67"/>
  <c r="DE83" s="1"/>
  <c r="DE62"/>
  <c r="DE78" s="1"/>
  <c r="DE61"/>
  <c r="DE65"/>
  <c r="DE60" l="1"/>
  <c r="DE5" s="1"/>
  <c r="DF4" s="1"/>
  <c r="DE77"/>
  <c r="DE14"/>
  <c r="DE81"/>
  <c r="DF86" l="1"/>
  <c r="DE76"/>
  <c r="DE6" s="1"/>
  <c r="DF87" s="1"/>
  <c r="DF89" l="1"/>
  <c r="DF71" l="1"/>
  <c r="DF84" s="1"/>
  <c r="DF64"/>
  <c r="DF80" s="1"/>
  <c r="DF63"/>
  <c r="DF79" s="1"/>
  <c r="DF67"/>
  <c r="DF83" s="1"/>
  <c r="DF62"/>
  <c r="DF78" s="1"/>
  <c r="DF66"/>
  <c r="DF82" s="1"/>
  <c r="DF61"/>
  <c r="DF65"/>
  <c r="DF60" l="1"/>
  <c r="DF5" s="1"/>
  <c r="DG4" s="1"/>
  <c r="DF77"/>
  <c r="DF14"/>
  <c r="DF81"/>
  <c r="DG86" l="1"/>
  <c r="DF76"/>
  <c r="DF6" s="1"/>
  <c r="DG87" s="1"/>
  <c r="DG89" l="1"/>
  <c r="DG67" l="1"/>
  <c r="DG83" s="1"/>
  <c r="DG71"/>
  <c r="DG84" s="1"/>
  <c r="DG62"/>
  <c r="DG78" s="1"/>
  <c r="DG63"/>
  <c r="DG79" s="1"/>
  <c r="DG64"/>
  <c r="DG80" s="1"/>
  <c r="DG66"/>
  <c r="DG82" s="1"/>
  <c r="DG65"/>
  <c r="DG61"/>
  <c r="DG14" l="1"/>
  <c r="DG81"/>
  <c r="DG60"/>
  <c r="DG5" s="1"/>
  <c r="DH4" s="1"/>
  <c r="DG77"/>
  <c r="DG76" l="1"/>
  <c r="DG6" s="1"/>
  <c r="DH87" s="1"/>
  <c r="DH86"/>
  <c r="DH89" l="1"/>
  <c r="DH71" s="1"/>
  <c r="DH84" s="1"/>
  <c r="DH63"/>
  <c r="DH79" s="1"/>
  <c r="DH65"/>
  <c r="DH67" l="1"/>
  <c r="DH83" s="1"/>
  <c r="DH62"/>
  <c r="DH78" s="1"/>
  <c r="DH64"/>
  <c r="DH80" s="1"/>
  <c r="DH66"/>
  <c r="DH82" s="1"/>
  <c r="DH61"/>
  <c r="DH77" s="1"/>
  <c r="DH14"/>
  <c r="DH81"/>
  <c r="DH60" l="1"/>
  <c r="DH5" s="1"/>
  <c r="DI4" s="1"/>
  <c r="DI86" s="1"/>
  <c r="DH76"/>
  <c r="DH6" s="1"/>
  <c r="DI87" s="1"/>
  <c r="DI89" l="1"/>
  <c r="DI67" l="1"/>
  <c r="DI83" s="1"/>
  <c r="DI63"/>
  <c r="DI79" s="1"/>
  <c r="DI71"/>
  <c r="DI84" s="1"/>
  <c r="DI64"/>
  <c r="DI80" s="1"/>
  <c r="DI62"/>
  <c r="DI78" s="1"/>
  <c r="DI66"/>
  <c r="DI82" s="1"/>
  <c r="DI65"/>
  <c r="DI61"/>
  <c r="DI81" l="1"/>
  <c r="DI14"/>
  <c r="DI60"/>
  <c r="DI5" s="1"/>
  <c r="DJ4" s="1"/>
  <c r="DI77"/>
  <c r="DI76" l="1"/>
  <c r="DI6" s="1"/>
  <c r="DJ87" s="1"/>
  <c r="DJ86"/>
  <c r="DJ89" l="1"/>
  <c r="DJ61" s="1"/>
  <c r="DJ77" s="1"/>
  <c r="DJ67"/>
  <c r="DJ83" s="1"/>
  <c r="DJ71"/>
  <c r="DJ84" s="1"/>
  <c r="DJ65" l="1"/>
  <c r="DJ14" s="1"/>
  <c r="DJ64"/>
  <c r="DJ80" s="1"/>
  <c r="DJ62"/>
  <c r="DJ78" s="1"/>
  <c r="DJ63"/>
  <c r="DJ79" s="1"/>
  <c r="DJ76" s="1"/>
  <c r="DJ6" s="1"/>
  <c r="DK87" s="1"/>
  <c r="DJ66"/>
  <c r="DJ82" s="1"/>
  <c r="DJ81"/>
  <c r="DJ60" l="1"/>
  <c r="DJ5" s="1"/>
  <c r="DK4" s="1"/>
  <c r="DK86" s="1"/>
  <c r="DK89" s="1"/>
  <c r="DK65" s="1"/>
  <c r="DK81" l="1"/>
  <c r="DK14"/>
  <c r="DK63"/>
  <c r="DK79" s="1"/>
  <c r="DK71"/>
  <c r="DK84" s="1"/>
  <c r="DK64"/>
  <c r="DK80" s="1"/>
  <c r="DK61"/>
  <c r="DK67"/>
  <c r="DK83" s="1"/>
  <c r="DK62"/>
  <c r="DK78" s="1"/>
  <c r="DK66"/>
  <c r="DK82" s="1"/>
  <c r="DK60" l="1"/>
  <c r="DK5" s="1"/>
  <c r="DL4" s="1"/>
  <c r="DK77"/>
  <c r="DK76" l="1"/>
  <c r="DK6" s="1"/>
  <c r="DL87" s="1"/>
  <c r="DL86"/>
  <c r="DL89" l="1"/>
  <c r="DL65" l="1"/>
  <c r="DL66"/>
  <c r="DL82" s="1"/>
  <c r="DL71"/>
  <c r="DL84" s="1"/>
  <c r="DL62"/>
  <c r="DL78" s="1"/>
  <c r="DL67"/>
  <c r="DL83" s="1"/>
  <c r="DL63"/>
  <c r="DL79" s="1"/>
  <c r="DL64"/>
  <c r="DL80" s="1"/>
  <c r="DL61"/>
  <c r="DM82" l="1"/>
  <c r="DM79"/>
  <c r="DM84"/>
  <c r="DM83"/>
  <c r="DL14"/>
  <c r="DL81"/>
  <c r="DM80"/>
  <c r="DL60"/>
  <c r="DL5" s="1"/>
  <c r="DO4" s="1"/>
  <c r="DL77"/>
  <c r="DM78"/>
  <c r="DO86" l="1"/>
  <c r="DM81"/>
  <c r="DL76"/>
  <c r="DL6" s="1"/>
  <c r="DO87" s="1"/>
  <c r="DM77"/>
  <c r="DM76" s="1"/>
  <c r="DO89" l="1"/>
  <c r="DO63" l="1"/>
  <c r="DO79" s="1"/>
  <c r="DO62"/>
  <c r="DO78" s="1"/>
  <c r="DO71"/>
  <c r="DO84" s="1"/>
  <c r="DO64"/>
  <c r="DO80" s="1"/>
  <c r="DO66"/>
  <c r="DO82" s="1"/>
  <c r="DO67"/>
  <c r="DO83" s="1"/>
  <c r="DO61"/>
  <c r="DO65"/>
  <c r="DO60" l="1"/>
  <c r="DO5" s="1"/>
  <c r="DP4" s="1"/>
  <c r="DO77"/>
  <c r="DO14"/>
  <c r="DO81"/>
  <c r="DP86" l="1"/>
  <c r="DO76"/>
  <c r="DO6" s="1"/>
  <c r="DP87" s="1"/>
  <c r="DP89" l="1"/>
  <c r="DP63" l="1"/>
  <c r="DP79" s="1"/>
  <c r="DP64"/>
  <c r="DP80" s="1"/>
  <c r="DP62"/>
  <c r="DP78" s="1"/>
  <c r="DP67"/>
  <c r="DP83" s="1"/>
  <c r="DP71"/>
  <c r="DP84" s="1"/>
  <c r="DP66"/>
  <c r="DP82" s="1"/>
  <c r="DP65"/>
  <c r="DP61"/>
  <c r="DP14" l="1"/>
  <c r="DP81"/>
  <c r="DP60"/>
  <c r="DP5" s="1"/>
  <c r="DQ4" s="1"/>
  <c r="DP77"/>
  <c r="DQ86" l="1"/>
  <c r="DP76"/>
  <c r="DP6" s="1"/>
  <c r="DQ87" s="1"/>
  <c r="DQ89" l="1"/>
  <c r="DQ67" l="1"/>
  <c r="DQ83" s="1"/>
  <c r="DQ63"/>
  <c r="DQ79" s="1"/>
  <c r="DQ62"/>
  <c r="DQ78" s="1"/>
  <c r="DQ66"/>
  <c r="DQ82" s="1"/>
  <c r="DQ64"/>
  <c r="DQ80" s="1"/>
  <c r="DQ71"/>
  <c r="DQ84" s="1"/>
  <c r="DQ61"/>
  <c r="DQ65"/>
  <c r="DQ60" l="1"/>
  <c r="DQ5" s="1"/>
  <c r="DR4" s="1"/>
  <c r="DQ77"/>
  <c r="DQ14"/>
  <c r="DQ81"/>
  <c r="DR86" l="1"/>
  <c r="DQ76"/>
  <c r="DQ6" s="1"/>
  <c r="DR87" s="1"/>
  <c r="DR89" l="1"/>
  <c r="DR66" l="1"/>
  <c r="DR82" s="1"/>
  <c r="DR62"/>
  <c r="DR78" s="1"/>
  <c r="DR67"/>
  <c r="DR83" s="1"/>
  <c r="DR64"/>
  <c r="DR80" s="1"/>
  <c r="DR63"/>
  <c r="DR79" s="1"/>
  <c r="DR71"/>
  <c r="DR84" s="1"/>
  <c r="DR61"/>
  <c r="DR65"/>
  <c r="DR60" l="1"/>
  <c r="DR5" s="1"/>
  <c r="DS4" s="1"/>
  <c r="DR77"/>
  <c r="DR14"/>
  <c r="DR81"/>
  <c r="DS86" l="1"/>
  <c r="DR76"/>
  <c r="DR6" s="1"/>
  <c r="DS87" s="1"/>
  <c r="DS89" l="1"/>
  <c r="DS64" l="1"/>
  <c r="DS80" s="1"/>
  <c r="DS62"/>
  <c r="DS78" s="1"/>
  <c r="DS63"/>
  <c r="DS79" s="1"/>
  <c r="DS66"/>
  <c r="DS82" s="1"/>
  <c r="DS67"/>
  <c r="DS83" s="1"/>
  <c r="DS71"/>
  <c r="DS84" s="1"/>
  <c r="DS61"/>
  <c r="DS65"/>
  <c r="DS60" l="1"/>
  <c r="DS5" s="1"/>
  <c r="DT4" s="1"/>
  <c r="DS77"/>
  <c r="DS14"/>
  <c r="DS81"/>
  <c r="DT86" l="1"/>
  <c r="DS76"/>
  <c r="DS6" s="1"/>
  <c r="DT87" s="1"/>
  <c r="DT89" l="1"/>
  <c r="DT64" l="1"/>
  <c r="DT80" s="1"/>
  <c r="DT66"/>
  <c r="DT82" s="1"/>
  <c r="DT62"/>
  <c r="DT78" s="1"/>
  <c r="DT71"/>
  <c r="DT84" s="1"/>
  <c r="DT67"/>
  <c r="DT83" s="1"/>
  <c r="DT63"/>
  <c r="DT79" s="1"/>
  <c r="DT65"/>
  <c r="DT61"/>
  <c r="DT81" l="1"/>
  <c r="DT14"/>
  <c r="DT60"/>
  <c r="DT5" s="1"/>
  <c r="DU4" s="1"/>
  <c r="DT77"/>
  <c r="DU86" l="1"/>
  <c r="DT76"/>
  <c r="DT6" s="1"/>
  <c r="DU87" s="1"/>
  <c r="DU89" l="1"/>
  <c r="DU71" l="1"/>
  <c r="DU84" s="1"/>
  <c r="DU66"/>
  <c r="DU82" s="1"/>
  <c r="DU64"/>
  <c r="DU80" s="1"/>
  <c r="DU62"/>
  <c r="DU78" s="1"/>
  <c r="DU63"/>
  <c r="DU79" s="1"/>
  <c r="DU67"/>
  <c r="DU83" s="1"/>
  <c r="DU61"/>
  <c r="DU65"/>
  <c r="DU60" l="1"/>
  <c r="DU5" s="1"/>
  <c r="DV4" s="1"/>
  <c r="DU77"/>
  <c r="DU81"/>
  <c r="DU14"/>
  <c r="DV86" l="1"/>
  <c r="DU76"/>
  <c r="DU6" s="1"/>
  <c r="DV87" s="1"/>
  <c r="DV89" l="1"/>
  <c r="DV62" l="1"/>
  <c r="DV78" s="1"/>
  <c r="DV63"/>
  <c r="DV79" s="1"/>
  <c r="DV66"/>
  <c r="DV82" s="1"/>
  <c r="DV64"/>
  <c r="DV80" s="1"/>
  <c r="DV67"/>
  <c r="DV83" s="1"/>
  <c r="DV71"/>
  <c r="DV84" s="1"/>
  <c r="DV65"/>
  <c r="DV61"/>
  <c r="DV14" l="1"/>
  <c r="DV81"/>
  <c r="DV60"/>
  <c r="DV5" s="1"/>
  <c r="DW4" s="1"/>
  <c r="DV77"/>
  <c r="DW86" l="1"/>
  <c r="DV76"/>
  <c r="DV6" s="1"/>
  <c r="DW87" s="1"/>
  <c r="DW89" l="1"/>
  <c r="DW66" l="1"/>
  <c r="DW82" s="1"/>
  <c r="DW62"/>
  <c r="DW78" s="1"/>
  <c r="DW67"/>
  <c r="DW83" s="1"/>
  <c r="DW64"/>
  <c r="DW80" s="1"/>
  <c r="DW71"/>
  <c r="DW84" s="1"/>
  <c r="DW63"/>
  <c r="DW79" s="1"/>
  <c r="DW65"/>
  <c r="DW61"/>
  <c r="DW81" l="1"/>
  <c r="DW14"/>
  <c r="DW60"/>
  <c r="DW5" s="1"/>
  <c r="DX4" s="1"/>
  <c r="DW77"/>
  <c r="DX86" l="1"/>
  <c r="DW76"/>
  <c r="DW6" s="1"/>
  <c r="DX87" s="1"/>
  <c r="DX89" l="1"/>
  <c r="DX66" l="1"/>
  <c r="DX82" s="1"/>
  <c r="DX71"/>
  <c r="DX84" s="1"/>
  <c r="DX64"/>
  <c r="DX80" s="1"/>
  <c r="DX67"/>
  <c r="DX83" s="1"/>
  <c r="DX63"/>
  <c r="DX79" s="1"/>
  <c r="DX62"/>
  <c r="DX78" s="1"/>
  <c r="DX65"/>
  <c r="DX61"/>
  <c r="DX14" l="1"/>
  <c r="DX81"/>
  <c r="DX60"/>
  <c r="DX5" s="1"/>
  <c r="DY4" s="1"/>
  <c r="DX77"/>
  <c r="DX76" l="1"/>
  <c r="DX6" s="1"/>
  <c r="DY87" s="1"/>
  <c r="DY86"/>
  <c r="DY89" l="1"/>
  <c r="DY62" s="1"/>
  <c r="DY78" s="1"/>
  <c r="DY71"/>
  <c r="DY84" s="1"/>
  <c r="DY63"/>
  <c r="DY79" s="1"/>
  <c r="DY65"/>
  <c r="DY66" l="1"/>
  <c r="DY82" s="1"/>
  <c r="DY67"/>
  <c r="DY83" s="1"/>
  <c r="DY64"/>
  <c r="DY80" s="1"/>
  <c r="DY61"/>
  <c r="DY60"/>
  <c r="DY5" s="1"/>
  <c r="DZ4" s="1"/>
  <c r="DY77"/>
  <c r="DY81"/>
  <c r="DY14"/>
  <c r="DZ86" l="1"/>
  <c r="DY76"/>
  <c r="DY6" s="1"/>
  <c r="DZ87" s="1"/>
  <c r="DZ89" l="1"/>
  <c r="DZ71" l="1"/>
  <c r="DZ84" s="1"/>
  <c r="DZ63"/>
  <c r="DZ79" s="1"/>
  <c r="DZ67"/>
  <c r="DZ83" s="1"/>
  <c r="DZ66"/>
  <c r="DZ82" s="1"/>
  <c r="DZ64"/>
  <c r="DZ80" s="1"/>
  <c r="DZ62"/>
  <c r="DZ78" s="1"/>
  <c r="DZ65"/>
  <c r="DZ61"/>
  <c r="DZ81" l="1"/>
  <c r="DZ14"/>
  <c r="DZ60"/>
  <c r="DZ5" s="1"/>
  <c r="EA4" s="1"/>
  <c r="DZ77"/>
  <c r="DZ76" l="1"/>
  <c r="DZ6" s="1"/>
  <c r="EA87" s="1"/>
  <c r="EA86"/>
  <c r="EA89" l="1"/>
  <c r="EA65" s="1"/>
  <c r="EA81" s="1"/>
  <c r="EA71"/>
  <c r="EA84" s="1"/>
  <c r="EA66"/>
  <c r="EA82" s="1"/>
  <c r="EA62"/>
  <c r="EA78" s="1"/>
  <c r="EA61" l="1"/>
  <c r="EA77" s="1"/>
  <c r="EA64"/>
  <c r="EA80" s="1"/>
  <c r="EA14"/>
  <c r="EA63"/>
  <c r="EA79" s="1"/>
  <c r="EA67"/>
  <c r="EA83" s="1"/>
  <c r="EA60" l="1"/>
  <c r="EA5" s="1"/>
  <c r="EB4" s="1"/>
  <c r="EB86" s="1"/>
  <c r="EA76"/>
  <c r="EA6" s="1"/>
  <c r="EB87" s="1"/>
  <c r="EB89" l="1"/>
  <c r="EB67" l="1"/>
  <c r="EB83" s="1"/>
  <c r="EB71"/>
  <c r="EB84" s="1"/>
  <c r="EB64"/>
  <c r="EB80" s="1"/>
  <c r="EB62"/>
  <c r="EB78" s="1"/>
  <c r="EB66"/>
  <c r="EB82" s="1"/>
  <c r="EB63"/>
  <c r="EB79" s="1"/>
  <c r="EB65"/>
  <c r="EB61"/>
  <c r="EB14" l="1"/>
  <c r="EB81"/>
  <c r="EB60"/>
  <c r="EB5" s="1"/>
  <c r="EC4" s="1"/>
  <c r="EB77"/>
  <c r="EC86" l="1"/>
  <c r="EB76"/>
  <c r="EB6" s="1"/>
  <c r="EC87" s="1"/>
  <c r="EC89" l="1"/>
  <c r="EC62" s="1"/>
  <c r="EC78" s="1"/>
  <c r="EC66"/>
  <c r="EC82" s="1"/>
  <c r="EC71"/>
  <c r="EC84" s="1"/>
  <c r="EC65"/>
  <c r="EC67" l="1"/>
  <c r="EC83" s="1"/>
  <c r="EC64"/>
  <c r="EC80" s="1"/>
  <c r="EC63"/>
  <c r="EC79" s="1"/>
  <c r="EC61"/>
  <c r="EC60"/>
  <c r="EC5" s="1"/>
  <c r="ED4" s="1"/>
  <c r="EC77"/>
  <c r="EC14"/>
  <c r="EC81"/>
  <c r="ED86" l="1"/>
  <c r="EC76"/>
  <c r="EC6" s="1"/>
  <c r="ED87" s="1"/>
  <c r="ED89" l="1"/>
  <c r="ED62" l="1"/>
  <c r="ED78" s="1"/>
  <c r="ED66"/>
  <c r="ED82" s="1"/>
  <c r="ED71"/>
  <c r="ED84" s="1"/>
  <c r="ED64"/>
  <c r="ED80" s="1"/>
  <c r="ED67"/>
  <c r="ED83" s="1"/>
  <c r="ED63"/>
  <c r="ED79" s="1"/>
  <c r="ED65"/>
  <c r="ED61"/>
  <c r="ED81" l="1"/>
  <c r="ED14"/>
  <c r="ED60"/>
  <c r="ED5" s="1"/>
  <c r="EE4" s="1"/>
  <c r="ED77"/>
  <c r="ED76" l="1"/>
  <c r="ED6" s="1"/>
  <c r="EE87" s="1"/>
  <c r="EE86"/>
  <c r="EE89" l="1"/>
  <c r="EE62" l="1"/>
  <c r="EE78" s="1"/>
  <c r="EE67"/>
  <c r="EE83" s="1"/>
  <c r="EE64"/>
  <c r="EE80" s="1"/>
  <c r="EE71"/>
  <c r="EE84" s="1"/>
  <c r="EE66"/>
  <c r="EE82" s="1"/>
  <c r="EE63"/>
  <c r="EE79" s="1"/>
  <c r="EE65"/>
  <c r="EE61"/>
  <c r="EE14" l="1"/>
  <c r="EE81"/>
  <c r="EE60"/>
  <c r="EE5" s="1"/>
  <c r="EF4" s="1"/>
  <c r="EE77"/>
  <c r="EF86" l="1"/>
  <c r="EE76"/>
  <c r="EE6" s="1"/>
  <c r="EF87" s="1"/>
  <c r="EF89" l="1"/>
  <c r="EF66" s="1"/>
  <c r="EF82" s="1"/>
  <c r="EF62"/>
  <c r="EF78" s="1"/>
  <c r="EF67"/>
  <c r="EF83" s="1"/>
  <c r="EF65"/>
  <c r="EF64" l="1"/>
  <c r="EF80" s="1"/>
  <c r="EF63"/>
  <c r="EF79" s="1"/>
  <c r="EF71"/>
  <c r="EF84" s="1"/>
  <c r="EF61"/>
  <c r="EF60"/>
  <c r="EF5" s="1"/>
  <c r="EG4" s="1"/>
  <c r="EF77"/>
  <c r="EF14"/>
  <c r="EF81"/>
  <c r="EG86" l="1"/>
  <c r="EF76"/>
  <c r="EF6" s="1"/>
  <c r="EG87" s="1"/>
  <c r="EG89" l="1"/>
  <c r="EG63" l="1"/>
  <c r="EG79" s="1"/>
  <c r="EG62"/>
  <c r="EG78" s="1"/>
  <c r="EG67"/>
  <c r="EG83" s="1"/>
  <c r="EG71"/>
  <c r="EG84" s="1"/>
  <c r="EG64"/>
  <c r="EG80" s="1"/>
  <c r="EG66"/>
  <c r="EG82" s="1"/>
  <c r="EG65"/>
  <c r="EG61"/>
  <c r="EG14" l="1"/>
  <c r="EG81"/>
  <c r="EG60"/>
  <c r="EG5" s="1"/>
  <c r="EH4" s="1"/>
  <c r="EG77"/>
  <c r="EH86" l="1"/>
  <c r="EG76"/>
  <c r="EG6" s="1"/>
  <c r="EH87" s="1"/>
  <c r="EH89" l="1"/>
  <c r="EH66" l="1"/>
  <c r="EH82" s="1"/>
  <c r="EH71"/>
  <c r="EH84" s="1"/>
  <c r="EH63"/>
  <c r="EH79" s="1"/>
  <c r="EH64"/>
  <c r="EH80" s="1"/>
  <c r="EH67"/>
  <c r="EH83" s="1"/>
  <c r="EH62"/>
  <c r="EH78" s="1"/>
  <c r="EH65"/>
  <c r="EH61"/>
  <c r="EH14" l="1"/>
  <c r="EH81"/>
  <c r="EH60"/>
  <c r="EH5" s="1"/>
  <c r="EI4" s="1"/>
  <c r="EH77"/>
  <c r="EH76" l="1"/>
  <c r="EH6" s="1"/>
  <c r="EI87" s="1"/>
  <c r="EI86"/>
  <c r="EI89" l="1"/>
  <c r="EI67" s="1"/>
  <c r="EI83" s="1"/>
  <c r="EI65"/>
  <c r="EI64" l="1"/>
  <c r="EI80" s="1"/>
  <c r="EI71"/>
  <c r="EI84" s="1"/>
  <c r="EI63"/>
  <c r="EI79" s="1"/>
  <c r="EI62"/>
  <c r="EI78" s="1"/>
  <c r="EI66"/>
  <c r="EI82" s="1"/>
  <c r="EI61"/>
  <c r="EI77" s="1"/>
  <c r="EI14"/>
  <c r="EI81"/>
  <c r="EI60" l="1"/>
  <c r="EI5" s="1"/>
  <c r="EJ4" s="1"/>
  <c r="EJ86" s="1"/>
  <c r="EI76"/>
  <c r="EI6" s="1"/>
  <c r="EJ87" s="1"/>
  <c r="EJ89" l="1"/>
  <c r="EJ63" l="1"/>
  <c r="EJ79" s="1"/>
  <c r="EK79" s="1"/>
  <c r="EJ71"/>
  <c r="EJ84" s="1"/>
  <c r="EK84" s="1"/>
  <c r="EJ64"/>
  <c r="EJ80" s="1"/>
  <c r="EK80" s="1"/>
  <c r="EJ66"/>
  <c r="EJ82" s="1"/>
  <c r="EK82" s="1"/>
  <c r="EJ62"/>
  <c r="EJ78" s="1"/>
  <c r="EK78" s="1"/>
  <c r="EJ67"/>
  <c r="EJ83" s="1"/>
  <c r="EK83" s="1"/>
  <c r="EJ61"/>
  <c r="EJ65"/>
  <c r="EJ60" l="1"/>
  <c r="EJ5" s="1"/>
  <c r="EJ77"/>
  <c r="EJ14"/>
  <c r="EJ81"/>
  <c r="EK81" s="1"/>
  <c r="EJ76" l="1"/>
  <c r="EJ6" s="1"/>
  <c r="EK77"/>
  <c r="EK76" s="1"/>
</calcChain>
</file>

<file path=xl/comments1.xml><?xml version="1.0" encoding="utf-8"?>
<comments xmlns="http://schemas.openxmlformats.org/spreadsheetml/2006/main">
  <authors>
    <author>Sptrans</author>
  </authors>
  <commentList>
    <comment ref="E58" authorId="0">
      <text>
        <r>
          <rPr>
            <sz val="9"/>
            <color indexed="81"/>
            <rFont val="Tahoma"/>
            <family val="2"/>
          </rPr>
          <t xml:space="preserve">debito indevido c/c 
1.6
</t>
        </r>
      </text>
    </comment>
    <comment ref="F58" authorId="0">
      <text>
        <r>
          <rPr>
            <sz val="9"/>
            <color indexed="81"/>
            <rFont val="Tahoma"/>
            <family val="2"/>
          </rPr>
          <t xml:space="preserve">debito indevido c/c 
1.6
</t>
        </r>
      </text>
    </comment>
  </commentList>
</comments>
</file>

<file path=xl/sharedStrings.xml><?xml version="1.0" encoding="utf-8"?>
<sst xmlns="http://schemas.openxmlformats.org/spreadsheetml/2006/main" count="255" uniqueCount="74">
  <si>
    <t>Bilhete Único sem Cadastro</t>
  </si>
  <si>
    <t>Comercialização Rede Complementar</t>
  </si>
  <si>
    <t xml:space="preserve">Spurbanos </t>
  </si>
  <si>
    <t xml:space="preserve">Transferência Resam </t>
  </si>
  <si>
    <t>Frota Pública</t>
  </si>
  <si>
    <t xml:space="preserve">Repasse Cooperados </t>
  </si>
  <si>
    <t>A</t>
  </si>
  <si>
    <t xml:space="preserve">Remuneração Subsistema Local </t>
  </si>
  <si>
    <t xml:space="preserve">Remuneração Subsistema Estrutural </t>
  </si>
  <si>
    <t>DÍVIDA ACUMULADA</t>
  </si>
  <si>
    <t xml:space="preserve">Despesas Gerais - Penhora / Bloqueio Judicial </t>
  </si>
  <si>
    <t>Despesas Gerais - Diversas</t>
  </si>
  <si>
    <t xml:space="preserve">Energia de Tração   </t>
  </si>
  <si>
    <t xml:space="preserve">Gerenc.Crédito Eletrônico Paese </t>
  </si>
  <si>
    <t>Comercialização - CEF</t>
  </si>
  <si>
    <t>Remuneração Subsistema Estrutural  Paese</t>
  </si>
  <si>
    <t xml:space="preserve">Frota Pública </t>
  </si>
  <si>
    <t>Repasse Cooperados</t>
  </si>
  <si>
    <t>TOTAL PAGAMENTO REALIZADO</t>
  </si>
  <si>
    <t>730/713/716/718/738</t>
  </si>
  <si>
    <t>Gerenc.Créd.Eletr.(TX. Ger. Paese)</t>
  </si>
  <si>
    <t>728/739</t>
  </si>
  <si>
    <t>X</t>
  </si>
  <si>
    <t>727/714</t>
  </si>
  <si>
    <t>731/733</t>
  </si>
  <si>
    <t>TOTAL VENCIMENTO DO DIA</t>
  </si>
  <si>
    <t>Recurso PMSP - Compensações Tarifarias Sistema Onibus</t>
  </si>
  <si>
    <t>Recurso PMSP - Transp.Pess.Deficiencia Mobil. Reduzida</t>
  </si>
  <si>
    <t xml:space="preserve">Serviços Especiais -  U S P </t>
  </si>
  <si>
    <t>Reembolso Paese</t>
  </si>
  <si>
    <t>Gerenc. e Operação Bilhet. Eletrôn. (SBE)</t>
  </si>
  <si>
    <t>Alugueis Diversos - Exploração Terminais</t>
  </si>
  <si>
    <t>Outras</t>
  </si>
  <si>
    <t>Zona Azul</t>
  </si>
  <si>
    <t>Royal Bus (Viação Jundiaiense)</t>
  </si>
  <si>
    <t>Receitas Financeiras</t>
  </si>
  <si>
    <t>Receita -  Diversas e Financeiras</t>
  </si>
  <si>
    <t>Créditos WEB (c/c 81-4 Ted Dia Seguinte)</t>
  </si>
  <si>
    <t>Créditos Loja Virtual (c/c 2-4 Ted Dia Seguinte)</t>
  </si>
  <si>
    <t>Créditos Multiconta (c/c 1-6 Ted Dia Seguinte)</t>
  </si>
  <si>
    <t>Créditos Multiconta (c/c 1-6 Dinheiro Dia)</t>
  </si>
  <si>
    <t>Créditos Lotericas (c/c 1-6 Dinheiro Dia)</t>
  </si>
  <si>
    <t>Créditos Lojas (c/c 1-6 Dinheiro Dia)</t>
  </si>
  <si>
    <t>Outros-XVN/Funap/EMTU (c/c 5020-2)</t>
  </si>
  <si>
    <t>Crédito Postos (c/c 5019-9)</t>
  </si>
  <si>
    <t>Receita - Venda de Crédito Eletrônico</t>
  </si>
  <si>
    <t xml:space="preserve">TOTAL RECEITA </t>
  </si>
  <si>
    <t xml:space="preserve">GESTÃO ACUMULADO - EMPRÉSTIMO/DEVOLUÇÃO </t>
  </si>
  <si>
    <t>MULTAS - Saídas (Penhora/Bloqueio Judicial)</t>
  </si>
  <si>
    <t>MULTAS - Saídas (Transcooper)</t>
  </si>
  <si>
    <t>MULTAS - Receita -  Diversas e Financeiras</t>
  </si>
  <si>
    <t xml:space="preserve">MULTAS - GESTÃO FINANCEIRA </t>
  </si>
  <si>
    <t xml:space="preserve">MULTAS - SALDO FINAL     </t>
  </si>
  <si>
    <t xml:space="preserve">81-4 - (Caixa Econômica)  </t>
  </si>
  <si>
    <t xml:space="preserve">2-4 - (Caixa Econômica)  </t>
  </si>
  <si>
    <t xml:space="preserve">1-6 - (Caixa Econômica)  </t>
  </si>
  <si>
    <t xml:space="preserve">5019-9 - (Banco Brasil)  </t>
  </si>
  <si>
    <t xml:space="preserve">5020-2 - (Banco Brasil)  </t>
  </si>
  <si>
    <t>SISTEMA - SALDO À PAGAR</t>
  </si>
  <si>
    <t>SISTEMA - SALDO FINAL</t>
  </si>
  <si>
    <t>SISTEMA -  SALDO INICIAL</t>
  </si>
  <si>
    <t>Previsto</t>
  </si>
  <si>
    <t>REAL</t>
  </si>
  <si>
    <t>Orçado</t>
  </si>
  <si>
    <t>Final</t>
  </si>
  <si>
    <t>Total</t>
  </si>
  <si>
    <t>SISTEMA TRANSPORTE COLETIVO URBANO</t>
  </si>
  <si>
    <t>Acumulado até</t>
  </si>
  <si>
    <t>seg</t>
  </si>
  <si>
    <t>ter</t>
  </si>
  <si>
    <t>qua</t>
  </si>
  <si>
    <t>qui</t>
  </si>
  <si>
    <t>sex</t>
  </si>
  <si>
    <t>Real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</si>
</sst>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(* #.0\,##0_);_(* \(#.0\,##0\);_(* &quot;-&quot;??_);_(@_)"/>
    <numFmt numFmtId="165" formatCode="_(* #,##0_);[Red]_(* \(#,##0\);_(* &quot;-&quot;??_);_(@_)"/>
    <numFmt numFmtId="166" formatCode="#,##0.00_ ;[Red]\-#,##0.00\ "/>
    <numFmt numFmtId="167" formatCode="#,##0;[Red]#,##0"/>
    <numFmt numFmtId="168" formatCode="[$-416]mmmm\-yyyy;@"/>
    <numFmt numFmtId="169" formatCode="[$-416]mmmm\-yy;@"/>
    <numFmt numFmtId="170" formatCode="dd/mm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2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theme="6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2" applyFont="1" applyProtection="1"/>
    <xf numFmtId="43" fontId="2" fillId="0" borderId="0" xfId="1" applyFont="1" applyProtection="1"/>
    <xf numFmtId="0" fontId="2" fillId="0" borderId="0" xfId="2" applyFont="1" applyAlignment="1" applyProtection="1">
      <alignment horizontal="right"/>
    </xf>
    <xf numFmtId="0" fontId="2" fillId="2" borderId="0" xfId="2" applyFont="1" applyFill="1" applyAlignment="1" applyProtection="1">
      <alignment horizontal="right"/>
    </xf>
    <xf numFmtId="0" fontId="1" fillId="0" borderId="0" xfId="2"/>
    <xf numFmtId="0" fontId="2" fillId="2" borderId="0" xfId="2" applyFont="1" applyFill="1" applyProtection="1"/>
    <xf numFmtId="164" fontId="2" fillId="0" borderId="0" xfId="2" applyNumberFormat="1" applyFont="1" applyProtection="1"/>
    <xf numFmtId="0" fontId="3" fillId="0" borderId="0" xfId="2" applyFont="1" applyAlignment="1">
      <alignment horizontal="right"/>
    </xf>
    <xf numFmtId="0" fontId="4" fillId="0" borderId="0" xfId="2" applyFont="1" applyProtection="1"/>
    <xf numFmtId="0" fontId="3" fillId="0" borderId="0" xfId="2" applyFont="1" applyBorder="1" applyAlignment="1">
      <alignment horizontal="right"/>
    </xf>
    <xf numFmtId="0" fontId="3" fillId="2" borderId="0" xfId="2" applyFont="1" applyFill="1" applyBorder="1" applyAlignment="1">
      <alignment horizontal="right"/>
    </xf>
    <xf numFmtId="0" fontId="5" fillId="0" borderId="0" xfId="2" applyFont="1" applyProtection="1"/>
    <xf numFmtId="0" fontId="5" fillId="2" borderId="0" xfId="2" applyFont="1" applyFill="1" applyProtection="1"/>
    <xf numFmtId="165" fontId="2" fillId="0" borderId="0" xfId="2" applyNumberFormat="1" applyFont="1" applyProtection="1"/>
    <xf numFmtId="43" fontId="2" fillId="0" borderId="0" xfId="2" applyNumberFormat="1" applyFont="1" applyProtection="1"/>
    <xf numFmtId="0" fontId="6" fillId="2" borderId="0" xfId="2" applyFont="1" applyFill="1" applyProtection="1"/>
    <xf numFmtId="43" fontId="6" fillId="2" borderId="0" xfId="1" applyFont="1" applyFill="1" applyProtection="1"/>
    <xf numFmtId="166" fontId="6" fillId="2" borderId="0" xfId="2" applyNumberFormat="1" applyFont="1" applyFill="1" applyBorder="1" applyProtection="1"/>
    <xf numFmtId="166" fontId="6" fillId="2" borderId="0" xfId="2" applyNumberFormat="1" applyFont="1" applyFill="1" applyProtection="1"/>
    <xf numFmtId="0" fontId="3" fillId="2" borderId="0" xfId="2" applyFont="1" applyFill="1" applyProtection="1"/>
    <xf numFmtId="43" fontId="5" fillId="2" borderId="0" xfId="1" applyFont="1" applyFill="1" applyProtection="1"/>
    <xf numFmtId="9" fontId="7" fillId="2" borderId="0" xfId="2" applyNumberFormat="1" applyFont="1" applyFill="1" applyBorder="1" applyProtection="1"/>
    <xf numFmtId="9" fontId="7" fillId="2" borderId="0" xfId="2" applyNumberFormat="1" applyFont="1" applyFill="1" applyProtection="1"/>
    <xf numFmtId="0" fontId="3" fillId="0" borderId="0" xfId="2" applyFont="1"/>
    <xf numFmtId="0" fontId="5" fillId="2" borderId="0" xfId="2" applyFont="1" applyFill="1" applyAlignment="1" applyProtection="1">
      <alignment horizontal="right"/>
    </xf>
    <xf numFmtId="38" fontId="6" fillId="2" borderId="0" xfId="2" applyNumberFormat="1" applyFont="1" applyFill="1" applyBorder="1" applyProtection="1"/>
    <xf numFmtId="38" fontId="6" fillId="2" borderId="0" xfId="2" applyNumberFormat="1" applyFont="1" applyFill="1" applyProtection="1"/>
    <xf numFmtId="164" fontId="2" fillId="2" borderId="0" xfId="2" applyNumberFormat="1" applyFont="1" applyFill="1" applyProtection="1"/>
    <xf numFmtId="165" fontId="5" fillId="2" borderId="0" xfId="2" applyNumberFormat="1" applyFont="1" applyFill="1" applyProtection="1"/>
    <xf numFmtId="165" fontId="5" fillId="2" borderId="0" xfId="2" applyNumberFormat="1" applyFont="1" applyFill="1" applyAlignment="1" applyProtection="1">
      <alignment horizontal="right"/>
    </xf>
    <xf numFmtId="165" fontId="8" fillId="2" borderId="0" xfId="3" applyNumberFormat="1" applyFont="1" applyFill="1" applyProtection="1"/>
    <xf numFmtId="0" fontId="3" fillId="2" borderId="0" xfId="2" applyFont="1" applyFill="1" applyAlignment="1" applyProtection="1">
      <alignment horizontal="right"/>
    </xf>
    <xf numFmtId="165" fontId="5" fillId="2" borderId="0" xfId="2" applyNumberFormat="1" applyFont="1" applyFill="1" applyBorder="1" applyProtection="1"/>
    <xf numFmtId="165" fontId="6" fillId="0" borderId="0" xfId="2" applyNumberFormat="1" applyFont="1" applyProtection="1"/>
    <xf numFmtId="22" fontId="9" fillId="2" borderId="0" xfId="2" applyNumberFormat="1" applyFont="1" applyFill="1" applyAlignment="1" applyProtection="1">
      <alignment horizontal="left"/>
    </xf>
    <xf numFmtId="165" fontId="7" fillId="3" borderId="1" xfId="2" applyNumberFormat="1" applyFont="1" applyFill="1" applyBorder="1" applyAlignment="1" applyProtection="1">
      <alignment horizontal="right"/>
    </xf>
    <xf numFmtId="165" fontId="7" fillId="4" borderId="1" xfId="2" applyNumberFormat="1" applyFont="1" applyFill="1" applyBorder="1" applyAlignment="1" applyProtection="1">
      <alignment horizontal="right"/>
    </xf>
    <xf numFmtId="165" fontId="6" fillId="2" borderId="2" xfId="2" applyNumberFormat="1" applyFont="1" applyFill="1" applyBorder="1" applyProtection="1"/>
    <xf numFmtId="165" fontId="6" fillId="2" borderId="3" xfId="2" applyNumberFormat="1" applyFont="1" applyFill="1" applyBorder="1" applyProtection="1"/>
    <xf numFmtId="165" fontId="7" fillId="2" borderId="1" xfId="2" applyNumberFormat="1" applyFont="1" applyFill="1" applyBorder="1" applyAlignment="1" applyProtection="1">
      <alignment horizontal="right"/>
    </xf>
    <xf numFmtId="165" fontId="7" fillId="2" borderId="3" xfId="2" applyNumberFormat="1" applyFont="1" applyFill="1" applyBorder="1" applyProtection="1"/>
    <xf numFmtId="0" fontId="3" fillId="2" borderId="4" xfId="2" applyFont="1" applyFill="1" applyBorder="1" applyAlignment="1" applyProtection="1">
      <alignment horizontal="left"/>
    </xf>
    <xf numFmtId="165" fontId="7" fillId="3" borderId="5" xfId="2" applyNumberFormat="1" applyFont="1" applyFill="1" applyBorder="1" applyAlignment="1" applyProtection="1">
      <alignment horizontal="right"/>
    </xf>
    <xf numFmtId="165" fontId="7" fillId="4" borderId="5" xfId="2" applyNumberFormat="1" applyFont="1" applyFill="1" applyBorder="1" applyAlignment="1" applyProtection="1">
      <alignment horizontal="right"/>
    </xf>
    <xf numFmtId="165" fontId="6" fillId="2" borderId="6" xfId="2" applyNumberFormat="1" applyFont="1" applyFill="1" applyBorder="1" applyProtection="1"/>
    <xf numFmtId="165" fontId="6" fillId="2" borderId="0" xfId="2" applyNumberFormat="1" applyFont="1" applyFill="1" applyBorder="1" applyProtection="1"/>
    <xf numFmtId="165" fontId="7" fillId="2" borderId="5" xfId="2" applyNumberFormat="1" applyFont="1" applyFill="1" applyBorder="1" applyAlignment="1" applyProtection="1">
      <alignment horizontal="right"/>
    </xf>
    <xf numFmtId="165" fontId="7" fillId="2" borderId="0" xfId="2" applyNumberFormat="1" applyFont="1" applyFill="1" applyBorder="1" applyProtection="1"/>
    <xf numFmtId="0" fontId="3" fillId="2" borderId="7" xfId="2" applyFont="1" applyFill="1" applyBorder="1" applyAlignment="1" applyProtection="1">
      <alignment horizontal="left"/>
    </xf>
    <xf numFmtId="165" fontId="10" fillId="3" borderId="5" xfId="2" applyNumberFormat="1" applyFont="1" applyFill="1" applyBorder="1" applyAlignment="1" applyProtection="1">
      <alignment horizontal="right"/>
    </xf>
    <xf numFmtId="165" fontId="10" fillId="4" borderId="5" xfId="2" applyNumberFormat="1" applyFont="1" applyFill="1" applyBorder="1" applyAlignment="1" applyProtection="1">
      <alignment horizontal="right"/>
    </xf>
    <xf numFmtId="165" fontId="11" fillId="2" borderId="6" xfId="2" applyNumberFormat="1" applyFont="1" applyFill="1" applyBorder="1" applyProtection="1"/>
    <xf numFmtId="165" fontId="11" fillId="2" borderId="0" xfId="2" applyNumberFormat="1" applyFont="1" applyFill="1" applyBorder="1" applyProtection="1"/>
    <xf numFmtId="165" fontId="10" fillId="2" borderId="5" xfId="2" applyNumberFormat="1" applyFont="1" applyFill="1" applyBorder="1" applyAlignment="1" applyProtection="1">
      <alignment horizontal="right"/>
    </xf>
    <xf numFmtId="0" fontId="12" fillId="2" borderId="7" xfId="2" applyFont="1" applyFill="1" applyBorder="1" applyAlignment="1" applyProtection="1">
      <alignment horizontal="left"/>
    </xf>
    <xf numFmtId="165" fontId="11" fillId="5" borderId="6" xfId="2" applyNumberFormat="1" applyFont="1" applyFill="1" applyBorder="1" applyProtection="1"/>
    <xf numFmtId="165" fontId="11" fillId="5" borderId="0" xfId="2" applyNumberFormat="1" applyFont="1" applyFill="1" applyBorder="1" applyProtection="1"/>
    <xf numFmtId="165" fontId="10" fillId="5" borderId="5" xfId="2" applyNumberFormat="1" applyFont="1" applyFill="1" applyBorder="1" applyAlignment="1" applyProtection="1">
      <alignment horizontal="right"/>
    </xf>
    <xf numFmtId="0" fontId="12" fillId="5" borderId="7" xfId="2" applyFont="1" applyFill="1" applyBorder="1" applyAlignment="1" applyProtection="1">
      <alignment horizontal="left"/>
    </xf>
    <xf numFmtId="0" fontId="3" fillId="2" borderId="6" xfId="2" applyFont="1" applyFill="1" applyBorder="1" applyAlignment="1">
      <alignment horizontal="right"/>
    </xf>
    <xf numFmtId="0" fontId="3" fillId="5" borderId="0" xfId="2" applyFont="1" applyFill="1"/>
    <xf numFmtId="165" fontId="7" fillId="3" borderId="5" xfId="3" applyNumberFormat="1" applyFont="1" applyFill="1" applyBorder="1" applyAlignment="1" applyProtection="1">
      <alignment horizontal="right"/>
    </xf>
    <xf numFmtId="165" fontId="7" fillId="4" borderId="5" xfId="3" applyNumberFormat="1" applyFont="1" applyFill="1" applyBorder="1" applyAlignment="1" applyProtection="1">
      <alignment horizontal="right"/>
    </xf>
    <xf numFmtId="165" fontId="7" fillId="2" borderId="5" xfId="3" applyNumberFormat="1" applyFont="1" applyFill="1" applyBorder="1" applyAlignment="1" applyProtection="1">
      <alignment horizontal="right"/>
    </xf>
    <xf numFmtId="0" fontId="5" fillId="0" borderId="0" xfId="2" applyFont="1" applyBorder="1" applyProtection="1"/>
    <xf numFmtId="43" fontId="5" fillId="0" borderId="0" xfId="1" applyFont="1" applyBorder="1" applyProtection="1"/>
    <xf numFmtId="165" fontId="7" fillId="3" borderId="8" xfId="3" applyNumberFormat="1" applyFont="1" applyFill="1" applyBorder="1" applyAlignment="1" applyProtection="1">
      <alignment horizontal="right"/>
    </xf>
    <xf numFmtId="165" fontId="7" fillId="4" borderId="8" xfId="3" applyNumberFormat="1" applyFont="1" applyFill="1" applyBorder="1" applyAlignment="1" applyProtection="1">
      <alignment horizontal="right"/>
    </xf>
    <xf numFmtId="165" fontId="7" fillId="6" borderId="9" xfId="3" applyNumberFormat="1" applyFont="1" applyFill="1" applyBorder="1" applyAlignment="1" applyProtection="1">
      <alignment horizontal="right"/>
    </xf>
    <xf numFmtId="165" fontId="7" fillId="6" borderId="10" xfId="3" applyNumberFormat="1" applyFont="1" applyFill="1" applyBorder="1" applyAlignment="1" applyProtection="1">
      <alignment horizontal="right"/>
    </xf>
    <xf numFmtId="165" fontId="7" fillId="6" borderId="8" xfId="3" applyNumberFormat="1" applyFont="1" applyFill="1" applyBorder="1" applyAlignment="1" applyProtection="1">
      <alignment horizontal="right"/>
    </xf>
    <xf numFmtId="164" fontId="3" fillId="6" borderId="11" xfId="3" applyNumberFormat="1" applyFont="1" applyFill="1" applyBorder="1" applyAlignment="1" applyProtection="1">
      <alignment horizontal="center"/>
    </xf>
    <xf numFmtId="0" fontId="6" fillId="0" borderId="0" xfId="2" applyFont="1"/>
    <xf numFmtId="43" fontId="6" fillId="0" borderId="0" xfId="1" applyFont="1"/>
    <xf numFmtId="165" fontId="6" fillId="0" borderId="0" xfId="2" applyNumberFormat="1" applyFont="1" applyAlignment="1">
      <alignment horizontal="right"/>
    </xf>
    <xf numFmtId="165" fontId="6" fillId="0" borderId="0" xfId="2" applyNumberFormat="1" applyFont="1" applyBorder="1"/>
    <xf numFmtId="165" fontId="6" fillId="2" borderId="0" xfId="2" applyNumberFormat="1" applyFont="1" applyFill="1" applyAlignment="1">
      <alignment horizontal="right"/>
    </xf>
    <xf numFmtId="165" fontId="6" fillId="0" borderId="0" xfId="2" applyNumberFormat="1" applyFont="1"/>
    <xf numFmtId="0" fontId="1" fillId="0" borderId="0" xfId="2" applyFont="1"/>
    <xf numFmtId="0" fontId="3" fillId="2" borderId="0" xfId="2" applyFont="1" applyFill="1" applyAlignment="1">
      <alignment horizontal="right"/>
    </xf>
    <xf numFmtId="0" fontId="4" fillId="0" borderId="0" xfId="2" applyFont="1" applyBorder="1" applyProtection="1"/>
    <xf numFmtId="43" fontId="5" fillId="0" borderId="0" xfId="1" applyFont="1" applyProtection="1"/>
    <xf numFmtId="165" fontId="5" fillId="0" borderId="0" xfId="2" applyNumberFormat="1" applyFont="1" applyAlignment="1" applyProtection="1">
      <alignment horizontal="right"/>
    </xf>
    <xf numFmtId="165" fontId="5" fillId="0" borderId="0" xfId="2" applyNumberFormat="1" applyFont="1" applyBorder="1" applyProtection="1"/>
    <xf numFmtId="165" fontId="5" fillId="0" borderId="0" xfId="2" applyNumberFormat="1" applyFont="1" applyProtection="1"/>
    <xf numFmtId="0" fontId="3" fillId="7" borderId="0" xfId="2" applyFont="1" applyFill="1" applyBorder="1" applyAlignment="1">
      <alignment horizontal="right"/>
    </xf>
    <xf numFmtId="0" fontId="4" fillId="2" borderId="0" xfId="2" applyFont="1" applyFill="1" applyProtection="1"/>
    <xf numFmtId="0" fontId="3" fillId="7" borderId="0" xfId="2" applyFont="1" applyFill="1" applyBorder="1" applyAlignment="1">
      <alignment horizontal="left"/>
    </xf>
    <xf numFmtId="0" fontId="3" fillId="7" borderId="0" xfId="2" applyFont="1" applyFill="1" applyAlignment="1">
      <alignment horizontal="right"/>
    </xf>
    <xf numFmtId="0" fontId="3" fillId="5" borderId="0" xfId="2" applyFont="1" applyFill="1" applyAlignment="1">
      <alignment horizontal="right"/>
    </xf>
    <xf numFmtId="0" fontId="3" fillId="7" borderId="6" xfId="2" applyFont="1" applyFill="1" applyBorder="1" applyAlignment="1">
      <alignment horizontal="right"/>
    </xf>
    <xf numFmtId="0" fontId="5" fillId="2" borderId="0" xfId="2" applyFont="1" applyFill="1" applyAlignment="1" applyProtection="1">
      <alignment horizontal="center"/>
    </xf>
    <xf numFmtId="43" fontId="5" fillId="2" borderId="0" xfId="1" applyFont="1" applyFill="1" applyAlignment="1" applyProtection="1">
      <alignment horizontal="center"/>
    </xf>
    <xf numFmtId="165" fontId="7" fillId="2" borderId="0" xfId="3" applyNumberFormat="1" applyFont="1" applyFill="1" applyBorder="1" applyAlignment="1" applyProtection="1">
      <alignment horizontal="center"/>
    </xf>
    <xf numFmtId="165" fontId="6" fillId="2" borderId="0" xfId="2" applyNumberFormat="1" applyFont="1" applyFill="1" applyAlignment="1" applyProtection="1">
      <alignment horizontal="center"/>
    </xf>
    <xf numFmtId="0" fontId="1" fillId="2" borderId="0" xfId="2" applyFont="1" applyFill="1" applyAlignment="1" applyProtection="1">
      <alignment horizontal="center"/>
    </xf>
    <xf numFmtId="0" fontId="4" fillId="2" borderId="0" xfId="2" applyFont="1" applyFill="1" applyAlignment="1" applyProtection="1">
      <alignment horizontal="center"/>
    </xf>
    <xf numFmtId="165" fontId="10" fillId="4" borderId="1" xfId="2" applyNumberFormat="1" applyFont="1" applyFill="1" applyBorder="1" applyAlignment="1" applyProtection="1">
      <alignment horizontal="right"/>
    </xf>
    <xf numFmtId="165" fontId="11" fillId="2" borderId="2" xfId="2" applyNumberFormat="1" applyFont="1" applyFill="1" applyBorder="1" applyProtection="1"/>
    <xf numFmtId="165" fontId="11" fillId="2" borderId="3" xfId="2" applyNumberFormat="1" applyFont="1" applyFill="1" applyBorder="1" applyProtection="1"/>
    <xf numFmtId="165" fontId="10" fillId="2" borderId="1" xfId="2" applyNumberFormat="1" applyFont="1" applyFill="1" applyBorder="1" applyAlignment="1" applyProtection="1">
      <alignment horizontal="right"/>
    </xf>
    <xf numFmtId="0" fontId="12" fillId="2" borderId="4" xfId="2" applyFont="1" applyFill="1" applyBorder="1" applyAlignment="1" applyProtection="1">
      <alignment horizontal="left"/>
    </xf>
    <xf numFmtId="0" fontId="12" fillId="5" borderId="7" xfId="2" applyFont="1" applyFill="1" applyBorder="1" applyAlignment="1" applyProtection="1">
      <alignment horizontal="right"/>
    </xf>
    <xf numFmtId="165" fontId="11" fillId="4" borderId="6" xfId="2" applyNumberFormat="1" applyFont="1" applyFill="1" applyBorder="1" applyProtection="1"/>
    <xf numFmtId="165" fontId="11" fillId="4" borderId="0" xfId="2" applyNumberFormat="1" applyFont="1" applyFill="1" applyBorder="1" applyProtection="1"/>
    <xf numFmtId="165" fontId="11" fillId="2" borderId="5" xfId="2" applyNumberFormat="1" applyFont="1" applyFill="1" applyBorder="1" applyAlignment="1" applyProtection="1">
      <alignment horizontal="right"/>
    </xf>
    <xf numFmtId="165" fontId="11" fillId="8" borderId="6" xfId="2" applyNumberFormat="1" applyFont="1" applyFill="1" applyBorder="1" applyProtection="1"/>
    <xf numFmtId="165" fontId="11" fillId="8" borderId="0" xfId="2" applyNumberFormat="1" applyFont="1" applyFill="1" applyBorder="1" applyProtection="1"/>
    <xf numFmtId="165" fontId="10" fillId="8" borderId="5" xfId="2" applyNumberFormat="1" applyFont="1" applyFill="1" applyBorder="1" applyAlignment="1" applyProtection="1">
      <alignment horizontal="right"/>
    </xf>
    <xf numFmtId="0" fontId="12" fillId="8" borderId="7" xfId="2" applyFont="1" applyFill="1" applyBorder="1" applyAlignment="1" applyProtection="1">
      <alignment horizontal="right"/>
    </xf>
    <xf numFmtId="165" fontId="7" fillId="2" borderId="0" xfId="2" applyNumberFormat="1" applyFont="1" applyFill="1" applyAlignment="1" applyProtection="1">
      <alignment horizontal="right"/>
    </xf>
    <xf numFmtId="165" fontId="13" fillId="2" borderId="0" xfId="2" applyNumberFormat="1" applyFont="1" applyFill="1" applyProtection="1"/>
    <xf numFmtId="165" fontId="7" fillId="3" borderId="12" xfId="2" applyNumberFormat="1" applyFont="1" applyFill="1" applyBorder="1" applyAlignment="1" applyProtection="1">
      <alignment horizontal="right"/>
    </xf>
    <xf numFmtId="165" fontId="7" fillId="4" borderId="12" xfId="2" applyNumberFormat="1" applyFont="1" applyFill="1" applyBorder="1" applyAlignment="1" applyProtection="1">
      <alignment horizontal="right"/>
    </xf>
    <xf numFmtId="165" fontId="7" fillId="2" borderId="13" xfId="2" applyNumberFormat="1" applyFont="1" applyFill="1" applyBorder="1" applyProtection="1"/>
    <xf numFmtId="165" fontId="7" fillId="2" borderId="14" xfId="2" applyNumberFormat="1" applyFont="1" applyFill="1" applyBorder="1" applyProtection="1"/>
    <xf numFmtId="165" fontId="7" fillId="2" borderId="12" xfId="2" applyNumberFormat="1" applyFont="1" applyFill="1" applyBorder="1" applyAlignment="1" applyProtection="1">
      <alignment horizontal="right"/>
    </xf>
    <xf numFmtId="0" fontId="3" fillId="2" borderId="15" xfId="2" applyFont="1" applyFill="1" applyBorder="1" applyAlignment="1" applyProtection="1">
      <alignment horizontal="left"/>
    </xf>
    <xf numFmtId="165" fontId="6" fillId="0" borderId="0" xfId="2" applyNumberFormat="1" applyFont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7" fillId="2" borderId="2" xfId="2" applyNumberFormat="1" applyFont="1" applyFill="1" applyBorder="1" applyProtection="1"/>
    <xf numFmtId="165" fontId="7" fillId="2" borderId="6" xfId="2" applyNumberFormat="1" applyFont="1" applyFill="1" applyBorder="1" applyProtection="1"/>
    <xf numFmtId="165" fontId="7" fillId="2" borderId="0" xfId="2" applyNumberFormat="1" applyFont="1" applyFill="1" applyBorder="1" applyAlignment="1" applyProtection="1">
      <alignment horizontal="right"/>
    </xf>
    <xf numFmtId="165" fontId="7" fillId="2" borderId="0" xfId="2" applyNumberFormat="1" applyFont="1" applyFill="1" applyBorder="1" applyAlignment="1" applyProtection="1"/>
    <xf numFmtId="43" fontId="7" fillId="2" borderId="0" xfId="1" applyFont="1" applyFill="1" applyBorder="1" applyAlignment="1" applyProtection="1"/>
    <xf numFmtId="0" fontId="3" fillId="2" borderId="0" xfId="2" applyFont="1" applyFill="1" applyBorder="1" applyAlignment="1" applyProtection="1">
      <alignment horizontal="left"/>
    </xf>
    <xf numFmtId="4" fontId="7" fillId="3" borderId="1" xfId="3" applyNumberFormat="1" applyFont="1" applyFill="1" applyBorder="1" applyAlignment="1" applyProtection="1">
      <alignment horizontal="right"/>
    </xf>
    <xf numFmtId="165" fontId="7" fillId="4" borderId="3" xfId="2" applyNumberFormat="1" applyFont="1" applyFill="1" applyBorder="1" applyProtection="1"/>
    <xf numFmtId="165" fontId="7" fillId="2" borderId="1" xfId="2" applyNumberFormat="1" applyFont="1" applyFill="1" applyBorder="1" applyProtection="1"/>
    <xf numFmtId="0" fontId="7" fillId="0" borderId="4" xfId="2" applyFont="1" applyBorder="1" applyAlignment="1" applyProtection="1">
      <alignment horizontal="right"/>
    </xf>
    <xf numFmtId="4" fontId="7" fillId="3" borderId="5" xfId="3" applyNumberFormat="1" applyFont="1" applyFill="1" applyBorder="1" applyAlignment="1" applyProtection="1">
      <alignment horizontal="right"/>
    </xf>
    <xf numFmtId="165" fontId="7" fillId="4" borderId="0" xfId="2" applyNumberFormat="1" applyFont="1" applyFill="1" applyBorder="1" applyProtection="1"/>
    <xf numFmtId="165" fontId="7" fillId="2" borderId="5" xfId="2" applyNumberFormat="1" applyFont="1" applyFill="1" applyBorder="1" applyProtection="1"/>
    <xf numFmtId="0" fontId="7" fillId="0" borderId="7" xfId="2" applyFont="1" applyBorder="1" applyAlignment="1" applyProtection="1">
      <alignment horizontal="right"/>
    </xf>
    <xf numFmtId="4" fontId="7" fillId="3" borderId="8" xfId="3" applyNumberFormat="1" applyFont="1" applyFill="1" applyBorder="1" applyAlignment="1" applyProtection="1">
      <alignment horizontal="right"/>
    </xf>
    <xf numFmtId="165" fontId="7" fillId="4" borderId="10" xfId="2" applyNumberFormat="1" applyFont="1" applyFill="1" applyBorder="1" applyProtection="1"/>
    <xf numFmtId="165" fontId="7" fillId="2" borderId="10" xfId="2" applyNumberFormat="1" applyFont="1" applyFill="1" applyBorder="1" applyProtection="1"/>
    <xf numFmtId="165" fontId="7" fillId="2" borderId="8" xfId="2" applyNumberFormat="1" applyFont="1" applyFill="1" applyBorder="1" applyProtection="1"/>
    <xf numFmtId="165" fontId="7" fillId="2" borderId="9" xfId="2" applyNumberFormat="1" applyFont="1" applyFill="1" applyBorder="1" applyProtection="1"/>
    <xf numFmtId="0" fontId="7" fillId="0" borderId="11" xfId="2" applyFont="1" applyBorder="1" applyAlignment="1" applyProtection="1">
      <alignment horizontal="right"/>
    </xf>
    <xf numFmtId="0" fontId="3" fillId="2" borderId="0" xfId="2" applyFont="1" applyFill="1" applyBorder="1" applyAlignment="1" applyProtection="1">
      <alignment horizontal="center"/>
    </xf>
    <xf numFmtId="165" fontId="7" fillId="2" borderId="1" xfId="3" applyNumberFormat="1" applyFont="1" applyFill="1" applyBorder="1" applyAlignment="1" applyProtection="1">
      <alignment horizontal="right"/>
    </xf>
    <xf numFmtId="165" fontId="7" fillId="2" borderId="2" xfId="3" applyNumberFormat="1" applyFont="1" applyFill="1" applyBorder="1" applyAlignment="1" applyProtection="1">
      <alignment horizontal="right"/>
    </xf>
    <xf numFmtId="165" fontId="7" fillId="2" borderId="3" xfId="3" applyNumberFormat="1" applyFont="1" applyFill="1" applyBorder="1" applyAlignment="1" applyProtection="1">
      <alignment horizontal="right"/>
    </xf>
    <xf numFmtId="0" fontId="3" fillId="2" borderId="4" xfId="2" applyFont="1" applyFill="1" applyBorder="1" applyAlignment="1" applyProtection="1">
      <alignment horizontal="center"/>
    </xf>
    <xf numFmtId="165" fontId="7" fillId="6" borderId="6" xfId="3" applyNumberFormat="1" applyFont="1" applyFill="1" applyBorder="1" applyAlignment="1" applyProtection="1">
      <alignment horizontal="right"/>
    </xf>
    <xf numFmtId="165" fontId="7" fillId="6" borderId="0" xfId="3" applyNumberFormat="1" applyFont="1" applyFill="1" applyBorder="1" applyAlignment="1" applyProtection="1">
      <alignment horizontal="right"/>
    </xf>
    <xf numFmtId="165" fontId="7" fillId="6" borderId="5" xfId="3" applyNumberFormat="1" applyFont="1" applyFill="1" applyBorder="1" applyAlignment="1" applyProtection="1">
      <alignment horizontal="right"/>
    </xf>
    <xf numFmtId="164" fontId="3" fillId="6" borderId="7" xfId="3" applyNumberFormat="1" applyFont="1" applyFill="1" applyBorder="1" applyAlignment="1" applyProtection="1">
      <alignment horizontal="center"/>
    </xf>
    <xf numFmtId="165" fontId="7" fillId="3" borderId="8" xfId="2" quotePrefix="1" applyNumberFormat="1" applyFont="1" applyFill="1" applyBorder="1" applyAlignment="1" applyProtection="1">
      <alignment horizontal="right"/>
    </xf>
    <xf numFmtId="165" fontId="7" fillId="4" borderId="8" xfId="2" quotePrefix="1" applyNumberFormat="1" applyFont="1" applyFill="1" applyBorder="1" applyAlignment="1" applyProtection="1">
      <alignment horizontal="right"/>
    </xf>
    <xf numFmtId="165" fontId="7" fillId="2" borderId="8" xfId="2" quotePrefix="1" applyNumberFormat="1" applyFont="1" applyFill="1" applyBorder="1" applyAlignment="1" applyProtection="1">
      <alignment horizontal="right"/>
    </xf>
    <xf numFmtId="167" fontId="7" fillId="2" borderId="10" xfId="2" applyNumberFormat="1" applyFont="1" applyFill="1" applyBorder="1" applyProtection="1"/>
    <xf numFmtId="0" fontId="3" fillId="2" borderId="11" xfId="2" applyFont="1" applyFill="1" applyBorder="1" applyAlignment="1" applyProtection="1">
      <alignment horizontal="center"/>
    </xf>
    <xf numFmtId="0" fontId="14" fillId="2" borderId="0" xfId="2" applyFont="1" applyFill="1" applyProtection="1"/>
    <xf numFmtId="43" fontId="14" fillId="2" borderId="0" xfId="1" applyFont="1" applyFill="1" applyProtection="1"/>
    <xf numFmtId="168" fontId="15" fillId="4" borderId="1" xfId="3" applyNumberFormat="1" applyFont="1" applyFill="1" applyBorder="1" applyAlignment="1" applyProtection="1">
      <alignment horizontal="center" vertical="center"/>
    </xf>
    <xf numFmtId="38" fontId="14" fillId="2" borderId="2" xfId="2" applyNumberFormat="1" applyFont="1" applyFill="1" applyBorder="1" applyAlignment="1" applyProtection="1">
      <alignment horizontal="right" vertical="center"/>
    </xf>
    <xf numFmtId="38" fontId="14" fillId="2" borderId="0" xfId="2" applyNumberFormat="1" applyFont="1" applyFill="1" applyBorder="1" applyAlignment="1" applyProtection="1">
      <alignment horizontal="right" vertical="center"/>
    </xf>
    <xf numFmtId="168" fontId="15" fillId="2" borderId="1" xfId="3" applyNumberFormat="1" applyFont="1" applyFill="1" applyBorder="1" applyAlignment="1" applyProtection="1">
      <alignment horizontal="center" vertical="center"/>
    </xf>
    <xf numFmtId="14" fontId="15" fillId="2" borderId="1" xfId="3" applyNumberFormat="1" applyFont="1" applyFill="1" applyBorder="1" applyAlignment="1" applyProtection="1">
      <alignment horizontal="center" vertical="center"/>
    </xf>
    <xf numFmtId="38" fontId="14" fillId="9" borderId="0" xfId="2" applyNumberFormat="1" applyFont="1" applyFill="1" applyBorder="1" applyAlignment="1" applyProtection="1">
      <alignment horizontal="right" vertical="center"/>
    </xf>
    <xf numFmtId="0" fontId="14" fillId="0" borderId="0" xfId="2" applyFont="1" applyAlignment="1" applyProtection="1">
      <alignment horizontal="right" vertical="center"/>
    </xf>
    <xf numFmtId="0" fontId="15" fillId="2" borderId="0" xfId="2" applyFont="1" applyFill="1" applyBorder="1" applyAlignment="1">
      <alignment horizontal="right"/>
    </xf>
    <xf numFmtId="0" fontId="15" fillId="2" borderId="0" xfId="2" applyFont="1" applyFill="1" applyProtection="1"/>
    <xf numFmtId="0" fontId="5" fillId="2" borderId="0" xfId="2" applyFont="1" applyFill="1" applyBorder="1" applyProtection="1"/>
    <xf numFmtId="43" fontId="5" fillId="2" borderId="0" xfId="1" applyFont="1" applyFill="1" applyBorder="1" applyProtection="1"/>
    <xf numFmtId="169" fontId="15" fillId="4" borderId="5" xfId="3" applyNumberFormat="1" applyFont="1" applyFill="1" applyBorder="1" applyAlignment="1" applyProtection="1">
      <alignment horizontal="center" vertical="center"/>
    </xf>
    <xf numFmtId="170" fontId="16" fillId="2" borderId="6" xfId="2" applyNumberFormat="1" applyFont="1" applyFill="1" applyBorder="1" applyAlignment="1" applyProtection="1">
      <alignment horizontal="right" vertical="center"/>
    </xf>
    <xf numFmtId="170" fontId="16" fillId="2" borderId="0" xfId="2" applyNumberFormat="1" applyFont="1" applyFill="1" applyAlignment="1" applyProtection="1">
      <alignment horizontal="right" vertical="center"/>
    </xf>
    <xf numFmtId="169" fontId="15" fillId="2" borderId="5" xfId="3" applyNumberFormat="1" applyFont="1" applyFill="1" applyBorder="1" applyAlignment="1" applyProtection="1">
      <alignment horizontal="center" vertical="center"/>
    </xf>
    <xf numFmtId="168" fontId="7" fillId="2" borderId="0" xfId="3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Protection="1"/>
    <xf numFmtId="169" fontId="15" fillId="4" borderId="8" xfId="3" applyNumberFormat="1" applyFont="1" applyFill="1" applyBorder="1" applyAlignment="1" applyProtection="1">
      <alignment horizontal="center" vertical="center"/>
    </xf>
    <xf numFmtId="14" fontId="16" fillId="2" borderId="6" xfId="2" applyNumberFormat="1" applyFont="1" applyFill="1" applyBorder="1" applyAlignment="1" applyProtection="1">
      <alignment horizontal="right" vertical="center"/>
    </xf>
    <xf numFmtId="14" fontId="16" fillId="2" borderId="0" xfId="2" applyNumberFormat="1" applyFont="1" applyFill="1" applyAlignment="1" applyProtection="1">
      <alignment horizontal="right" vertical="center"/>
    </xf>
    <xf numFmtId="169" fontId="15" fillId="2" borderId="8" xfId="3" applyNumberFormat="1" applyFont="1" applyFill="1" applyBorder="1" applyAlignment="1" applyProtection="1">
      <alignment horizontal="center" vertical="center"/>
    </xf>
    <xf numFmtId="0" fontId="3" fillId="2" borderId="0" xfId="2" quotePrefix="1" applyFont="1" applyFill="1" applyBorder="1" applyAlignment="1" applyProtection="1">
      <alignment horizontal="center" vertical="center"/>
    </xf>
    <xf numFmtId="165" fontId="6" fillId="0" borderId="0" xfId="0" applyNumberFormat="1" applyFont="1"/>
    <xf numFmtId="165" fontId="6" fillId="0" borderId="0" xfId="0" applyNumberFormat="1" applyFont="1" applyBorder="1"/>
    <xf numFmtId="14" fontId="16" fillId="2" borderId="0" xfId="2" applyNumberFormat="1" applyFont="1" applyFill="1" applyBorder="1" applyAlignment="1" applyProtection="1">
      <alignment horizontal="right" vertical="center"/>
    </xf>
  </cellXfs>
  <cellStyles count="6">
    <cellStyle name="Normal" xfId="0" builtinId="0"/>
    <cellStyle name="Normal 2" xfId="2"/>
    <cellStyle name="Separador de milhares" xfId="1" builtinId="3"/>
    <cellStyle name="Separador de milhares 2" xfId="4"/>
    <cellStyle name="Separador de milhares 2 2" xfId="3"/>
    <cellStyle name="Separador de milhares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257175</xdr:rowOff>
    </xdr:from>
    <xdr:to>
      <xdr:col>32</xdr:col>
      <xdr:colOff>801171</xdr:colOff>
      <xdr:row>4</xdr:row>
      <xdr:rowOff>238126</xdr:rowOff>
    </xdr:to>
    <xdr:sp macro="" textlink="">
      <xdr:nvSpPr>
        <xdr:cNvPr id="2" name="AutoShape 1" hidden="1"/>
        <xdr:cNvSpPr>
          <a:spLocks noChangeAspect="1" noChangeArrowheads="1"/>
        </xdr:cNvSpPr>
      </xdr:nvSpPr>
      <xdr:spPr bwMode="auto">
        <a:xfrm>
          <a:off x="4313208" y="326187"/>
          <a:ext cx="309936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753574</xdr:colOff>
      <xdr:row>4</xdr:row>
      <xdr:rowOff>238126</xdr:rowOff>
    </xdr:to>
    <xdr:sp macro="" textlink="">
      <xdr:nvSpPr>
        <xdr:cNvPr id="3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765828</xdr:colOff>
      <xdr:row>4</xdr:row>
      <xdr:rowOff>238126</xdr:rowOff>
    </xdr:to>
    <xdr:sp macro="" textlink="">
      <xdr:nvSpPr>
        <xdr:cNvPr id="5" name="AutoShape 1" hidden="1"/>
        <xdr:cNvSpPr>
          <a:spLocks noChangeAspect="1" noChangeArrowheads="1"/>
        </xdr:cNvSpPr>
      </xdr:nvSpPr>
      <xdr:spPr bwMode="auto">
        <a:xfrm>
          <a:off x="4313208" y="326187"/>
          <a:ext cx="277233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765828</xdr:colOff>
      <xdr:row>4</xdr:row>
      <xdr:rowOff>238126</xdr:rowOff>
    </xdr:to>
    <xdr:sp macro="" textlink="">
      <xdr:nvSpPr>
        <xdr:cNvPr id="6" name="AutoShape 1" hidden="1"/>
        <xdr:cNvSpPr>
          <a:spLocks noChangeAspect="1" noChangeArrowheads="1"/>
        </xdr:cNvSpPr>
      </xdr:nvSpPr>
      <xdr:spPr bwMode="auto">
        <a:xfrm>
          <a:off x="4313208" y="326187"/>
          <a:ext cx="277233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658324</xdr:colOff>
      <xdr:row>4</xdr:row>
      <xdr:rowOff>276226</xdr:rowOff>
    </xdr:to>
    <xdr:sp macro="" textlink="">
      <xdr:nvSpPr>
        <xdr:cNvPr id="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829773</xdr:colOff>
      <xdr:row>4</xdr:row>
      <xdr:rowOff>238126</xdr:rowOff>
    </xdr:to>
    <xdr:sp macro="" textlink="">
      <xdr:nvSpPr>
        <xdr:cNvPr id="4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4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734523</xdr:colOff>
      <xdr:row>4</xdr:row>
      <xdr:rowOff>276226</xdr:rowOff>
    </xdr:to>
    <xdr:sp macro="" textlink="">
      <xdr:nvSpPr>
        <xdr:cNvPr id="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4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30</xdr:col>
      <xdr:colOff>390466</xdr:colOff>
      <xdr:row>4</xdr:row>
      <xdr:rowOff>238126</xdr:rowOff>
    </xdr:to>
    <xdr:sp macro="" textlink="">
      <xdr:nvSpPr>
        <xdr:cNvPr id="46" name="AutoShape 1" hidden="1"/>
        <xdr:cNvSpPr>
          <a:spLocks noChangeAspect="1" noChangeArrowheads="1"/>
        </xdr:cNvSpPr>
      </xdr:nvSpPr>
      <xdr:spPr bwMode="auto">
        <a:xfrm>
          <a:off x="4313208" y="326187"/>
          <a:ext cx="2842631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658324</xdr:colOff>
      <xdr:row>4</xdr:row>
      <xdr:rowOff>238126</xdr:rowOff>
    </xdr:to>
    <xdr:sp macro="" textlink="">
      <xdr:nvSpPr>
        <xdr:cNvPr id="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30</xdr:col>
      <xdr:colOff>295216</xdr:colOff>
      <xdr:row>4</xdr:row>
      <xdr:rowOff>276226</xdr:rowOff>
    </xdr:to>
    <xdr:sp macro="" textlink="">
      <xdr:nvSpPr>
        <xdr:cNvPr id="48" name="AutoShape 1" hidden="1"/>
        <xdr:cNvSpPr>
          <a:spLocks noChangeAspect="1" noChangeArrowheads="1"/>
        </xdr:cNvSpPr>
      </xdr:nvSpPr>
      <xdr:spPr bwMode="auto">
        <a:xfrm>
          <a:off x="4313208" y="329781"/>
          <a:ext cx="2833106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658324</xdr:colOff>
      <xdr:row>4</xdr:row>
      <xdr:rowOff>238126</xdr:rowOff>
    </xdr:to>
    <xdr:sp macro="" textlink="">
      <xdr:nvSpPr>
        <xdr:cNvPr id="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753574</xdr:colOff>
      <xdr:row>4</xdr:row>
      <xdr:rowOff>238126</xdr:rowOff>
    </xdr:to>
    <xdr:sp macro="" textlink="">
      <xdr:nvSpPr>
        <xdr:cNvPr id="50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658324</xdr:colOff>
      <xdr:row>4</xdr:row>
      <xdr:rowOff>276226</xdr:rowOff>
    </xdr:to>
    <xdr:sp macro="" textlink="">
      <xdr:nvSpPr>
        <xdr:cNvPr id="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829773</xdr:colOff>
      <xdr:row>4</xdr:row>
      <xdr:rowOff>238126</xdr:rowOff>
    </xdr:to>
    <xdr:sp macro="" textlink="">
      <xdr:nvSpPr>
        <xdr:cNvPr id="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734523</xdr:colOff>
      <xdr:row>4</xdr:row>
      <xdr:rowOff>276226</xdr:rowOff>
    </xdr:to>
    <xdr:sp macro="" textlink="">
      <xdr:nvSpPr>
        <xdr:cNvPr id="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8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1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727728</xdr:colOff>
      <xdr:row>4</xdr:row>
      <xdr:rowOff>238126</xdr:rowOff>
    </xdr:to>
    <xdr:sp macro="" textlink="">
      <xdr:nvSpPr>
        <xdr:cNvPr id="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1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1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21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829773</xdr:colOff>
      <xdr:row>4</xdr:row>
      <xdr:rowOff>238126</xdr:rowOff>
    </xdr:to>
    <xdr:sp macro="" textlink="">
      <xdr:nvSpPr>
        <xdr:cNvPr id="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734523</xdr:colOff>
      <xdr:row>4</xdr:row>
      <xdr:rowOff>276226</xdr:rowOff>
    </xdr:to>
    <xdr:sp macro="" textlink="">
      <xdr:nvSpPr>
        <xdr:cNvPr id="2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829773</xdr:colOff>
      <xdr:row>4</xdr:row>
      <xdr:rowOff>238126</xdr:rowOff>
    </xdr:to>
    <xdr:sp macro="" textlink="">
      <xdr:nvSpPr>
        <xdr:cNvPr id="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734523</xdr:colOff>
      <xdr:row>4</xdr:row>
      <xdr:rowOff>276226</xdr:rowOff>
    </xdr:to>
    <xdr:sp macro="" textlink="">
      <xdr:nvSpPr>
        <xdr:cNvPr id="30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0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829773</xdr:colOff>
      <xdr:row>4</xdr:row>
      <xdr:rowOff>238126</xdr:rowOff>
    </xdr:to>
    <xdr:sp macro="" textlink="">
      <xdr:nvSpPr>
        <xdr:cNvPr id="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4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734523</xdr:colOff>
      <xdr:row>4</xdr:row>
      <xdr:rowOff>276226</xdr:rowOff>
    </xdr:to>
    <xdr:sp macro="" textlink="">
      <xdr:nvSpPr>
        <xdr:cNvPr id="3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4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3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4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43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4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43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4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4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4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4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4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4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829773</xdr:colOff>
      <xdr:row>4</xdr:row>
      <xdr:rowOff>238126</xdr:rowOff>
    </xdr:to>
    <xdr:sp macro="" textlink="">
      <xdr:nvSpPr>
        <xdr:cNvPr id="5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52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734523</xdr:colOff>
      <xdr:row>4</xdr:row>
      <xdr:rowOff>276226</xdr:rowOff>
    </xdr:to>
    <xdr:sp macro="" textlink="">
      <xdr:nvSpPr>
        <xdr:cNvPr id="5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5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829773</xdr:colOff>
      <xdr:row>4</xdr:row>
      <xdr:rowOff>238126</xdr:rowOff>
    </xdr:to>
    <xdr:sp macro="" textlink="">
      <xdr:nvSpPr>
        <xdr:cNvPr id="5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5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734523</xdr:colOff>
      <xdr:row>4</xdr:row>
      <xdr:rowOff>276226</xdr:rowOff>
    </xdr:to>
    <xdr:sp macro="" textlink="">
      <xdr:nvSpPr>
        <xdr:cNvPr id="5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5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5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5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5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5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5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5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6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829773</xdr:colOff>
      <xdr:row>4</xdr:row>
      <xdr:rowOff>238126</xdr:rowOff>
    </xdr:to>
    <xdr:sp macro="" textlink="">
      <xdr:nvSpPr>
        <xdr:cNvPr id="6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62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734523</xdr:colOff>
      <xdr:row>4</xdr:row>
      <xdr:rowOff>276226</xdr:rowOff>
    </xdr:to>
    <xdr:sp macro="" textlink="">
      <xdr:nvSpPr>
        <xdr:cNvPr id="6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62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32</xdr:col>
      <xdr:colOff>801059</xdr:colOff>
      <xdr:row>4</xdr:row>
      <xdr:rowOff>238126</xdr:rowOff>
    </xdr:to>
    <xdr:sp macro="" textlink="">
      <xdr:nvSpPr>
        <xdr:cNvPr id="626" name="AutoShape 1" hidden="1"/>
        <xdr:cNvSpPr>
          <a:spLocks noChangeAspect="1" noChangeArrowheads="1"/>
        </xdr:cNvSpPr>
      </xdr:nvSpPr>
      <xdr:spPr bwMode="auto">
        <a:xfrm>
          <a:off x="4313208" y="326187"/>
          <a:ext cx="309935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755169</xdr:colOff>
      <xdr:row>4</xdr:row>
      <xdr:rowOff>238126</xdr:rowOff>
    </xdr:to>
    <xdr:sp macro="" textlink="">
      <xdr:nvSpPr>
        <xdr:cNvPr id="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7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755169</xdr:colOff>
      <xdr:row>4</xdr:row>
      <xdr:rowOff>238126</xdr:rowOff>
    </xdr:to>
    <xdr:sp macro="" textlink="">
      <xdr:nvSpPr>
        <xdr:cNvPr id="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7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6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6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6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6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6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6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65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6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65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65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6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6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6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6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6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30</xdr:col>
      <xdr:colOff>384451</xdr:colOff>
      <xdr:row>4</xdr:row>
      <xdr:rowOff>228601</xdr:rowOff>
    </xdr:to>
    <xdr:sp macro="" textlink="">
      <xdr:nvSpPr>
        <xdr:cNvPr id="671" name="AutoShape 1" hidden="1"/>
        <xdr:cNvSpPr>
          <a:spLocks noChangeAspect="1" noChangeArrowheads="1"/>
        </xdr:cNvSpPr>
      </xdr:nvSpPr>
      <xdr:spPr bwMode="auto">
        <a:xfrm>
          <a:off x="4313208" y="325288"/>
          <a:ext cx="2842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6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30</xdr:col>
      <xdr:colOff>291198</xdr:colOff>
      <xdr:row>4</xdr:row>
      <xdr:rowOff>228601</xdr:rowOff>
    </xdr:to>
    <xdr:sp macro="" textlink="">
      <xdr:nvSpPr>
        <xdr:cNvPr id="673" name="AutoShape 1" hidden="1"/>
        <xdr:cNvSpPr>
          <a:spLocks noChangeAspect="1" noChangeArrowheads="1"/>
        </xdr:cNvSpPr>
      </xdr:nvSpPr>
      <xdr:spPr bwMode="auto">
        <a:xfrm>
          <a:off x="4313208" y="325288"/>
          <a:ext cx="2832704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6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6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6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6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6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6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6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6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6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6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6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7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7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823756</xdr:colOff>
      <xdr:row>4</xdr:row>
      <xdr:rowOff>238126</xdr:rowOff>
    </xdr:to>
    <xdr:sp macro="" textlink="">
      <xdr:nvSpPr>
        <xdr:cNvPr id="71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71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728506</xdr:colOff>
      <xdr:row>4</xdr:row>
      <xdr:rowOff>276226</xdr:rowOff>
    </xdr:to>
    <xdr:sp macro="" textlink="">
      <xdr:nvSpPr>
        <xdr:cNvPr id="7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71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7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74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7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74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7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7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7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7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7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7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7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7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717069</xdr:colOff>
      <xdr:row>4</xdr:row>
      <xdr:rowOff>238126</xdr:rowOff>
    </xdr:to>
    <xdr:sp macro="" textlink="">
      <xdr:nvSpPr>
        <xdr:cNvPr id="7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7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7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7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7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7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7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7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7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823759</xdr:colOff>
      <xdr:row>4</xdr:row>
      <xdr:rowOff>238126</xdr:rowOff>
    </xdr:to>
    <xdr:sp macro="" textlink="">
      <xdr:nvSpPr>
        <xdr:cNvPr id="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83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728509</xdr:colOff>
      <xdr:row>4</xdr:row>
      <xdr:rowOff>276226</xdr:rowOff>
    </xdr:to>
    <xdr:sp macro="" textlink="">
      <xdr:nvSpPr>
        <xdr:cNvPr id="8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83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8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8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8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92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9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9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9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9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9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9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01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0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01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0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0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0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10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1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10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15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1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1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19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1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1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20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2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24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24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25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2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2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2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2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2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2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2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2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2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2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2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2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2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2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2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2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2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2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2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2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747556</xdr:colOff>
      <xdr:row>4</xdr:row>
      <xdr:rowOff>238126</xdr:rowOff>
    </xdr:to>
    <xdr:sp macro="" textlink="">
      <xdr:nvSpPr>
        <xdr:cNvPr id="1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652306</xdr:colOff>
      <xdr:row>4</xdr:row>
      <xdr:rowOff>276226</xdr:rowOff>
    </xdr:to>
    <xdr:sp macro="" textlink="">
      <xdr:nvSpPr>
        <xdr:cNvPr id="13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652306</xdr:colOff>
      <xdr:row>4</xdr:row>
      <xdr:rowOff>238126</xdr:rowOff>
    </xdr:to>
    <xdr:sp macro="" textlink="">
      <xdr:nvSpPr>
        <xdr:cNvPr id="1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652306</xdr:colOff>
      <xdr:row>4</xdr:row>
      <xdr:rowOff>238126</xdr:rowOff>
    </xdr:to>
    <xdr:sp macro="" textlink="">
      <xdr:nvSpPr>
        <xdr:cNvPr id="1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747556</xdr:colOff>
      <xdr:row>4</xdr:row>
      <xdr:rowOff>238126</xdr:rowOff>
    </xdr:to>
    <xdr:sp macro="" textlink="">
      <xdr:nvSpPr>
        <xdr:cNvPr id="1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652306</xdr:colOff>
      <xdr:row>4</xdr:row>
      <xdr:rowOff>276226</xdr:rowOff>
    </xdr:to>
    <xdr:sp macro="" textlink="">
      <xdr:nvSpPr>
        <xdr:cNvPr id="13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823756</xdr:colOff>
      <xdr:row>4</xdr:row>
      <xdr:rowOff>238126</xdr:rowOff>
    </xdr:to>
    <xdr:sp macro="" textlink="">
      <xdr:nvSpPr>
        <xdr:cNvPr id="1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728506</xdr:colOff>
      <xdr:row>4</xdr:row>
      <xdr:rowOff>276226</xdr:rowOff>
    </xdr:to>
    <xdr:sp macro="" textlink="">
      <xdr:nvSpPr>
        <xdr:cNvPr id="13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1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1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823756</xdr:colOff>
      <xdr:row>4</xdr:row>
      <xdr:rowOff>238126</xdr:rowOff>
    </xdr:to>
    <xdr:sp macro="" textlink="">
      <xdr:nvSpPr>
        <xdr:cNvPr id="1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728506</xdr:colOff>
      <xdr:row>4</xdr:row>
      <xdr:rowOff>276226</xdr:rowOff>
    </xdr:to>
    <xdr:sp macro="" textlink="">
      <xdr:nvSpPr>
        <xdr:cNvPr id="13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3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3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3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3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3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3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3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3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33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747559</xdr:colOff>
      <xdr:row>4</xdr:row>
      <xdr:rowOff>238126</xdr:rowOff>
    </xdr:to>
    <xdr:sp macro="" textlink="">
      <xdr:nvSpPr>
        <xdr:cNvPr id="1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652309</xdr:colOff>
      <xdr:row>4</xdr:row>
      <xdr:rowOff>276226</xdr:rowOff>
    </xdr:to>
    <xdr:sp macro="" textlink="">
      <xdr:nvSpPr>
        <xdr:cNvPr id="13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652309</xdr:colOff>
      <xdr:row>4</xdr:row>
      <xdr:rowOff>238126</xdr:rowOff>
    </xdr:to>
    <xdr:sp macro="" textlink="">
      <xdr:nvSpPr>
        <xdr:cNvPr id="1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652309</xdr:colOff>
      <xdr:row>4</xdr:row>
      <xdr:rowOff>238126</xdr:rowOff>
    </xdr:to>
    <xdr:sp macro="" textlink="">
      <xdr:nvSpPr>
        <xdr:cNvPr id="1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747559</xdr:colOff>
      <xdr:row>4</xdr:row>
      <xdr:rowOff>238126</xdr:rowOff>
    </xdr:to>
    <xdr:sp macro="" textlink="">
      <xdr:nvSpPr>
        <xdr:cNvPr id="1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652309</xdr:colOff>
      <xdr:row>4</xdr:row>
      <xdr:rowOff>276226</xdr:rowOff>
    </xdr:to>
    <xdr:sp macro="" textlink="">
      <xdr:nvSpPr>
        <xdr:cNvPr id="13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823759</xdr:colOff>
      <xdr:row>4</xdr:row>
      <xdr:rowOff>238126</xdr:rowOff>
    </xdr:to>
    <xdr:sp macro="" textlink="">
      <xdr:nvSpPr>
        <xdr:cNvPr id="1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728509</xdr:colOff>
      <xdr:row>4</xdr:row>
      <xdr:rowOff>276226</xdr:rowOff>
    </xdr:to>
    <xdr:sp macro="" textlink="">
      <xdr:nvSpPr>
        <xdr:cNvPr id="13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1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1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823759</xdr:colOff>
      <xdr:row>4</xdr:row>
      <xdr:rowOff>238126</xdr:rowOff>
    </xdr:to>
    <xdr:sp macro="" textlink="">
      <xdr:nvSpPr>
        <xdr:cNvPr id="1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728509</xdr:colOff>
      <xdr:row>4</xdr:row>
      <xdr:rowOff>276226</xdr:rowOff>
    </xdr:to>
    <xdr:sp macro="" textlink="">
      <xdr:nvSpPr>
        <xdr:cNvPr id="13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3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3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3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3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3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3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3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3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3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3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3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3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3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3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3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3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3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3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3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3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3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3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39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4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4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4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4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4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4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4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4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4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4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4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4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4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4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4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4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4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4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4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4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4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4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4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4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4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4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4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4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4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4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4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4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4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4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4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753574</xdr:colOff>
      <xdr:row>4</xdr:row>
      <xdr:rowOff>238126</xdr:rowOff>
    </xdr:to>
    <xdr:sp macro="" textlink="">
      <xdr:nvSpPr>
        <xdr:cNvPr id="14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658324</xdr:colOff>
      <xdr:row>4</xdr:row>
      <xdr:rowOff>276226</xdr:rowOff>
    </xdr:to>
    <xdr:sp macro="" textlink="">
      <xdr:nvSpPr>
        <xdr:cNvPr id="14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658324</xdr:colOff>
      <xdr:row>4</xdr:row>
      <xdr:rowOff>238126</xdr:rowOff>
    </xdr:to>
    <xdr:sp macro="" textlink="">
      <xdr:nvSpPr>
        <xdr:cNvPr id="14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658324</xdr:colOff>
      <xdr:row>4</xdr:row>
      <xdr:rowOff>238126</xdr:rowOff>
    </xdr:to>
    <xdr:sp macro="" textlink="">
      <xdr:nvSpPr>
        <xdr:cNvPr id="14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753574</xdr:colOff>
      <xdr:row>4</xdr:row>
      <xdr:rowOff>238126</xdr:rowOff>
    </xdr:to>
    <xdr:sp macro="" textlink="">
      <xdr:nvSpPr>
        <xdr:cNvPr id="14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658324</xdr:colOff>
      <xdr:row>4</xdr:row>
      <xdr:rowOff>276226</xdr:rowOff>
    </xdr:to>
    <xdr:sp macro="" textlink="">
      <xdr:nvSpPr>
        <xdr:cNvPr id="14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14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14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4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4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14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14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4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4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4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4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4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4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4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4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4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4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4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4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4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4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4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4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4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29</xdr:col>
      <xdr:colOff>652308</xdr:colOff>
      <xdr:row>15</xdr:row>
      <xdr:rowOff>300106</xdr:rowOff>
    </xdr:to>
    <xdr:sp macro="" textlink="">
      <xdr:nvSpPr>
        <xdr:cNvPr id="1496" name="AutoShape 1" hidden="1"/>
        <xdr:cNvSpPr>
          <a:spLocks noChangeAspect="1" noChangeArrowheads="1"/>
        </xdr:cNvSpPr>
      </xdr:nvSpPr>
      <xdr:spPr bwMode="auto">
        <a:xfrm>
          <a:off x="4313208" y="2130725"/>
          <a:ext cx="27609855" cy="48988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4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4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4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5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5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5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5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5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5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5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5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5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5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5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5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5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5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5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5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5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5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5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5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5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5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5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5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5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5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5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5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5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5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5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5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5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5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5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5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5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747556</xdr:colOff>
      <xdr:row>4</xdr:row>
      <xdr:rowOff>238126</xdr:rowOff>
    </xdr:to>
    <xdr:sp macro="" textlink="">
      <xdr:nvSpPr>
        <xdr:cNvPr id="15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652306</xdr:colOff>
      <xdr:row>4</xdr:row>
      <xdr:rowOff>276226</xdr:rowOff>
    </xdr:to>
    <xdr:sp macro="" textlink="">
      <xdr:nvSpPr>
        <xdr:cNvPr id="15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652306</xdr:colOff>
      <xdr:row>4</xdr:row>
      <xdr:rowOff>238126</xdr:rowOff>
    </xdr:to>
    <xdr:sp macro="" textlink="">
      <xdr:nvSpPr>
        <xdr:cNvPr id="15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652306</xdr:colOff>
      <xdr:row>4</xdr:row>
      <xdr:rowOff>238126</xdr:rowOff>
    </xdr:to>
    <xdr:sp macro="" textlink="">
      <xdr:nvSpPr>
        <xdr:cNvPr id="15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747556</xdr:colOff>
      <xdr:row>4</xdr:row>
      <xdr:rowOff>238126</xdr:rowOff>
    </xdr:to>
    <xdr:sp macro="" textlink="">
      <xdr:nvSpPr>
        <xdr:cNvPr id="15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652306</xdr:colOff>
      <xdr:row>4</xdr:row>
      <xdr:rowOff>276226</xdr:rowOff>
    </xdr:to>
    <xdr:sp macro="" textlink="">
      <xdr:nvSpPr>
        <xdr:cNvPr id="15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823756</xdr:colOff>
      <xdr:row>4</xdr:row>
      <xdr:rowOff>238126</xdr:rowOff>
    </xdr:to>
    <xdr:sp macro="" textlink="">
      <xdr:nvSpPr>
        <xdr:cNvPr id="15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728506</xdr:colOff>
      <xdr:row>4</xdr:row>
      <xdr:rowOff>276226</xdr:rowOff>
    </xdr:to>
    <xdr:sp macro="" textlink="">
      <xdr:nvSpPr>
        <xdr:cNvPr id="15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15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728506</xdr:colOff>
      <xdr:row>4</xdr:row>
      <xdr:rowOff>238126</xdr:rowOff>
    </xdr:to>
    <xdr:sp macro="" textlink="">
      <xdr:nvSpPr>
        <xdr:cNvPr id="15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823756</xdr:colOff>
      <xdr:row>4</xdr:row>
      <xdr:rowOff>238126</xdr:rowOff>
    </xdr:to>
    <xdr:sp macro="" textlink="">
      <xdr:nvSpPr>
        <xdr:cNvPr id="15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728506</xdr:colOff>
      <xdr:row>4</xdr:row>
      <xdr:rowOff>276226</xdr:rowOff>
    </xdr:to>
    <xdr:sp macro="" textlink="">
      <xdr:nvSpPr>
        <xdr:cNvPr id="15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5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5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5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5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5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5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5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5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5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5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5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5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5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5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5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5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5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5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5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5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5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5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5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747559</xdr:colOff>
      <xdr:row>4</xdr:row>
      <xdr:rowOff>238126</xdr:rowOff>
    </xdr:to>
    <xdr:sp macro="" textlink="">
      <xdr:nvSpPr>
        <xdr:cNvPr id="15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652309</xdr:colOff>
      <xdr:row>4</xdr:row>
      <xdr:rowOff>276226</xdr:rowOff>
    </xdr:to>
    <xdr:sp macro="" textlink="">
      <xdr:nvSpPr>
        <xdr:cNvPr id="15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652309</xdr:colOff>
      <xdr:row>4</xdr:row>
      <xdr:rowOff>238126</xdr:rowOff>
    </xdr:to>
    <xdr:sp macro="" textlink="">
      <xdr:nvSpPr>
        <xdr:cNvPr id="15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652309</xdr:colOff>
      <xdr:row>4</xdr:row>
      <xdr:rowOff>238126</xdr:rowOff>
    </xdr:to>
    <xdr:sp macro="" textlink="">
      <xdr:nvSpPr>
        <xdr:cNvPr id="15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747559</xdr:colOff>
      <xdr:row>4</xdr:row>
      <xdr:rowOff>238126</xdr:rowOff>
    </xdr:to>
    <xdr:sp macro="" textlink="">
      <xdr:nvSpPr>
        <xdr:cNvPr id="15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652309</xdr:colOff>
      <xdr:row>4</xdr:row>
      <xdr:rowOff>276226</xdr:rowOff>
    </xdr:to>
    <xdr:sp macro="" textlink="">
      <xdr:nvSpPr>
        <xdr:cNvPr id="15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823759</xdr:colOff>
      <xdr:row>4</xdr:row>
      <xdr:rowOff>238126</xdr:rowOff>
    </xdr:to>
    <xdr:sp macro="" textlink="">
      <xdr:nvSpPr>
        <xdr:cNvPr id="15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728509</xdr:colOff>
      <xdr:row>4</xdr:row>
      <xdr:rowOff>276226</xdr:rowOff>
    </xdr:to>
    <xdr:sp macro="" textlink="">
      <xdr:nvSpPr>
        <xdr:cNvPr id="15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15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728509</xdr:colOff>
      <xdr:row>4</xdr:row>
      <xdr:rowOff>238126</xdr:rowOff>
    </xdr:to>
    <xdr:sp macro="" textlink="">
      <xdr:nvSpPr>
        <xdr:cNvPr id="15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823759</xdr:colOff>
      <xdr:row>4</xdr:row>
      <xdr:rowOff>238126</xdr:rowOff>
    </xdr:to>
    <xdr:sp macro="" textlink="">
      <xdr:nvSpPr>
        <xdr:cNvPr id="15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728509</xdr:colOff>
      <xdr:row>4</xdr:row>
      <xdr:rowOff>276226</xdr:rowOff>
    </xdr:to>
    <xdr:sp macro="" textlink="">
      <xdr:nvSpPr>
        <xdr:cNvPr id="15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5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5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5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5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5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5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5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5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5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5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5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59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5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5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5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6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6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6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6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6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6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6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6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6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6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6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6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6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6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6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6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6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6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6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6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6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6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6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6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6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6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6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6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6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63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6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6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6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6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6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6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6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6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6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6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6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6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6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6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6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6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6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6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6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6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6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6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6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6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6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6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6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6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6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6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1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1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16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6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6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16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16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16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6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6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7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7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7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7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7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7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7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7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7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754576</xdr:colOff>
      <xdr:row>4</xdr:row>
      <xdr:rowOff>238126</xdr:rowOff>
    </xdr:to>
    <xdr:sp macro="" textlink="">
      <xdr:nvSpPr>
        <xdr:cNvPr id="1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659326</xdr:colOff>
      <xdr:row>4</xdr:row>
      <xdr:rowOff>276226</xdr:rowOff>
    </xdr:to>
    <xdr:sp macro="" textlink="">
      <xdr:nvSpPr>
        <xdr:cNvPr id="17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659326</xdr:colOff>
      <xdr:row>4</xdr:row>
      <xdr:rowOff>238126</xdr:rowOff>
    </xdr:to>
    <xdr:sp macro="" textlink="">
      <xdr:nvSpPr>
        <xdr:cNvPr id="17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659326</xdr:colOff>
      <xdr:row>4</xdr:row>
      <xdr:rowOff>238126</xdr:rowOff>
    </xdr:to>
    <xdr:sp macro="" textlink="">
      <xdr:nvSpPr>
        <xdr:cNvPr id="1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754576</xdr:colOff>
      <xdr:row>4</xdr:row>
      <xdr:rowOff>238126</xdr:rowOff>
    </xdr:to>
    <xdr:sp macro="" textlink="">
      <xdr:nvSpPr>
        <xdr:cNvPr id="1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659326</xdr:colOff>
      <xdr:row>4</xdr:row>
      <xdr:rowOff>276226</xdr:rowOff>
    </xdr:to>
    <xdr:sp macro="" textlink="">
      <xdr:nvSpPr>
        <xdr:cNvPr id="17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830776</xdr:colOff>
      <xdr:row>4</xdr:row>
      <xdr:rowOff>238126</xdr:rowOff>
    </xdr:to>
    <xdr:sp macro="" textlink="">
      <xdr:nvSpPr>
        <xdr:cNvPr id="1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735526</xdr:colOff>
      <xdr:row>4</xdr:row>
      <xdr:rowOff>276226</xdr:rowOff>
    </xdr:to>
    <xdr:sp macro="" textlink="">
      <xdr:nvSpPr>
        <xdr:cNvPr id="17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735526</xdr:colOff>
      <xdr:row>4</xdr:row>
      <xdr:rowOff>238126</xdr:rowOff>
    </xdr:to>
    <xdr:sp macro="" textlink="">
      <xdr:nvSpPr>
        <xdr:cNvPr id="1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735526</xdr:colOff>
      <xdr:row>4</xdr:row>
      <xdr:rowOff>238126</xdr:rowOff>
    </xdr:to>
    <xdr:sp macro="" textlink="">
      <xdr:nvSpPr>
        <xdr:cNvPr id="1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830776</xdr:colOff>
      <xdr:row>4</xdr:row>
      <xdr:rowOff>238126</xdr:rowOff>
    </xdr:to>
    <xdr:sp macro="" textlink="">
      <xdr:nvSpPr>
        <xdr:cNvPr id="1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735526</xdr:colOff>
      <xdr:row>4</xdr:row>
      <xdr:rowOff>276226</xdr:rowOff>
    </xdr:to>
    <xdr:sp macro="" textlink="">
      <xdr:nvSpPr>
        <xdr:cNvPr id="17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754576</xdr:colOff>
      <xdr:row>4</xdr:row>
      <xdr:rowOff>238126</xdr:rowOff>
    </xdr:to>
    <xdr:sp macro="" textlink="">
      <xdr:nvSpPr>
        <xdr:cNvPr id="1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659326</xdr:colOff>
      <xdr:row>4</xdr:row>
      <xdr:rowOff>276226</xdr:rowOff>
    </xdr:to>
    <xdr:sp macro="" textlink="">
      <xdr:nvSpPr>
        <xdr:cNvPr id="17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659326</xdr:colOff>
      <xdr:row>4</xdr:row>
      <xdr:rowOff>238126</xdr:rowOff>
    </xdr:to>
    <xdr:sp macro="" textlink="">
      <xdr:nvSpPr>
        <xdr:cNvPr id="1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659326</xdr:colOff>
      <xdr:row>4</xdr:row>
      <xdr:rowOff>238126</xdr:rowOff>
    </xdr:to>
    <xdr:sp macro="" textlink="">
      <xdr:nvSpPr>
        <xdr:cNvPr id="1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754576</xdr:colOff>
      <xdr:row>4</xdr:row>
      <xdr:rowOff>238126</xdr:rowOff>
    </xdr:to>
    <xdr:sp macro="" textlink="">
      <xdr:nvSpPr>
        <xdr:cNvPr id="1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204355</xdr:rowOff>
    </xdr:from>
    <xdr:to>
      <xdr:col>29</xdr:col>
      <xdr:colOff>659326</xdr:colOff>
      <xdr:row>4</xdr:row>
      <xdr:rowOff>185306</xdr:rowOff>
    </xdr:to>
    <xdr:sp macro="" textlink="">
      <xdr:nvSpPr>
        <xdr:cNvPr id="1734" name="AutoShape 1" hidden="1"/>
        <xdr:cNvSpPr>
          <a:spLocks noChangeAspect="1" noChangeArrowheads="1"/>
        </xdr:cNvSpPr>
      </xdr:nvSpPr>
      <xdr:spPr bwMode="auto">
        <a:xfrm>
          <a:off x="4313208" y="325125"/>
          <a:ext cx="27616873" cy="49853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830776</xdr:colOff>
      <xdr:row>4</xdr:row>
      <xdr:rowOff>238126</xdr:rowOff>
    </xdr:to>
    <xdr:sp macro="" textlink="">
      <xdr:nvSpPr>
        <xdr:cNvPr id="1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735526</xdr:colOff>
      <xdr:row>4</xdr:row>
      <xdr:rowOff>276226</xdr:rowOff>
    </xdr:to>
    <xdr:sp macro="" textlink="">
      <xdr:nvSpPr>
        <xdr:cNvPr id="17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735526</xdr:colOff>
      <xdr:row>4</xdr:row>
      <xdr:rowOff>238126</xdr:rowOff>
    </xdr:to>
    <xdr:sp macro="" textlink="">
      <xdr:nvSpPr>
        <xdr:cNvPr id="1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735526</xdr:colOff>
      <xdr:row>4</xdr:row>
      <xdr:rowOff>238126</xdr:rowOff>
    </xdr:to>
    <xdr:sp macro="" textlink="">
      <xdr:nvSpPr>
        <xdr:cNvPr id="1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830776</xdr:colOff>
      <xdr:row>4</xdr:row>
      <xdr:rowOff>238126</xdr:rowOff>
    </xdr:to>
    <xdr:sp macro="" textlink="">
      <xdr:nvSpPr>
        <xdr:cNvPr id="1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735526</xdr:colOff>
      <xdr:row>4</xdr:row>
      <xdr:rowOff>276226</xdr:rowOff>
    </xdr:to>
    <xdr:sp macro="" textlink="">
      <xdr:nvSpPr>
        <xdr:cNvPr id="17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753574</xdr:colOff>
      <xdr:row>4</xdr:row>
      <xdr:rowOff>238126</xdr:rowOff>
    </xdr:to>
    <xdr:sp macro="" textlink="">
      <xdr:nvSpPr>
        <xdr:cNvPr id="1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658324</xdr:colOff>
      <xdr:row>4</xdr:row>
      <xdr:rowOff>276226</xdr:rowOff>
    </xdr:to>
    <xdr:sp macro="" textlink="">
      <xdr:nvSpPr>
        <xdr:cNvPr id="17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658324</xdr:colOff>
      <xdr:row>4</xdr:row>
      <xdr:rowOff>238126</xdr:rowOff>
    </xdr:to>
    <xdr:sp macro="" textlink="">
      <xdr:nvSpPr>
        <xdr:cNvPr id="1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658324</xdr:colOff>
      <xdr:row>4</xdr:row>
      <xdr:rowOff>238126</xdr:rowOff>
    </xdr:to>
    <xdr:sp macro="" textlink="">
      <xdr:nvSpPr>
        <xdr:cNvPr id="1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753574</xdr:colOff>
      <xdr:row>4</xdr:row>
      <xdr:rowOff>238126</xdr:rowOff>
    </xdr:to>
    <xdr:sp macro="" textlink="">
      <xdr:nvSpPr>
        <xdr:cNvPr id="1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658324</xdr:colOff>
      <xdr:row>4</xdr:row>
      <xdr:rowOff>276226</xdr:rowOff>
    </xdr:to>
    <xdr:sp macro="" textlink="">
      <xdr:nvSpPr>
        <xdr:cNvPr id="17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17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17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17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17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7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7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1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17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17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7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7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1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17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17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1012725</xdr:colOff>
      <xdr:row>4</xdr:row>
      <xdr:rowOff>238126</xdr:rowOff>
    </xdr:to>
    <xdr:sp macro="" textlink="">
      <xdr:nvSpPr>
        <xdr:cNvPr id="1765" name="AutoShape 1" hidden="1"/>
        <xdr:cNvSpPr>
          <a:spLocks noChangeAspect="1" noChangeArrowheads="1"/>
        </xdr:cNvSpPr>
      </xdr:nvSpPr>
      <xdr:spPr bwMode="auto">
        <a:xfrm>
          <a:off x="4313208" y="326187"/>
          <a:ext cx="2797027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7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886924</xdr:colOff>
      <xdr:row>4</xdr:row>
      <xdr:rowOff>276226</xdr:rowOff>
    </xdr:to>
    <xdr:sp macro="" textlink="">
      <xdr:nvSpPr>
        <xdr:cNvPr id="1773" name="AutoShape 1" hidden="1"/>
        <xdr:cNvSpPr>
          <a:spLocks noChangeAspect="1" noChangeArrowheads="1"/>
        </xdr:cNvSpPr>
      </xdr:nvSpPr>
      <xdr:spPr bwMode="auto">
        <a:xfrm>
          <a:off x="4313208" y="329781"/>
          <a:ext cx="278444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7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1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7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17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7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7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7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1388053</xdr:colOff>
      <xdr:row>4</xdr:row>
      <xdr:rowOff>218575</xdr:rowOff>
    </xdr:to>
    <xdr:sp macro="" textlink="">
      <xdr:nvSpPr>
        <xdr:cNvPr id="1788" name="AutoShape 1" hidden="1"/>
        <xdr:cNvSpPr>
          <a:spLocks noChangeAspect="1" noChangeArrowheads="1"/>
        </xdr:cNvSpPr>
      </xdr:nvSpPr>
      <xdr:spPr bwMode="auto">
        <a:xfrm>
          <a:off x="2156604" y="323888"/>
          <a:ext cx="1077502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7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7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7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7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829773</xdr:colOff>
      <xdr:row>4</xdr:row>
      <xdr:rowOff>238126</xdr:rowOff>
    </xdr:to>
    <xdr:sp macro="" textlink="">
      <xdr:nvSpPr>
        <xdr:cNvPr id="17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79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734523</xdr:colOff>
      <xdr:row>4</xdr:row>
      <xdr:rowOff>276226</xdr:rowOff>
    </xdr:to>
    <xdr:sp macro="" textlink="">
      <xdr:nvSpPr>
        <xdr:cNvPr id="1797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7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30</xdr:col>
      <xdr:colOff>619066</xdr:colOff>
      <xdr:row>4</xdr:row>
      <xdr:rowOff>238126</xdr:rowOff>
    </xdr:to>
    <xdr:sp macro="" textlink="">
      <xdr:nvSpPr>
        <xdr:cNvPr id="1799" name="AutoShape 1" hidden="1"/>
        <xdr:cNvSpPr>
          <a:spLocks noChangeAspect="1" noChangeArrowheads="1"/>
        </xdr:cNvSpPr>
      </xdr:nvSpPr>
      <xdr:spPr bwMode="auto">
        <a:xfrm>
          <a:off x="4313208" y="326187"/>
          <a:ext cx="2865491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886924</xdr:colOff>
      <xdr:row>4</xdr:row>
      <xdr:rowOff>238126</xdr:rowOff>
    </xdr:to>
    <xdr:sp macro="" textlink="">
      <xdr:nvSpPr>
        <xdr:cNvPr id="1800" name="AutoShape 1" hidden="1"/>
        <xdr:cNvSpPr>
          <a:spLocks noChangeAspect="1" noChangeArrowheads="1"/>
        </xdr:cNvSpPr>
      </xdr:nvSpPr>
      <xdr:spPr bwMode="auto">
        <a:xfrm>
          <a:off x="4313208" y="326187"/>
          <a:ext cx="278444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30</xdr:col>
      <xdr:colOff>523816</xdr:colOff>
      <xdr:row>4</xdr:row>
      <xdr:rowOff>276226</xdr:rowOff>
    </xdr:to>
    <xdr:sp macro="" textlink="">
      <xdr:nvSpPr>
        <xdr:cNvPr id="1801" name="AutoShape 1" hidden="1"/>
        <xdr:cNvSpPr>
          <a:spLocks noChangeAspect="1" noChangeArrowheads="1"/>
        </xdr:cNvSpPr>
      </xdr:nvSpPr>
      <xdr:spPr bwMode="auto">
        <a:xfrm>
          <a:off x="4313208" y="329781"/>
          <a:ext cx="2855966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886924</xdr:colOff>
      <xdr:row>4</xdr:row>
      <xdr:rowOff>238126</xdr:rowOff>
    </xdr:to>
    <xdr:sp macro="" textlink="">
      <xdr:nvSpPr>
        <xdr:cNvPr id="1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8444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1012725</xdr:colOff>
      <xdr:row>4</xdr:row>
      <xdr:rowOff>238126</xdr:rowOff>
    </xdr:to>
    <xdr:sp macro="" textlink="">
      <xdr:nvSpPr>
        <xdr:cNvPr id="1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97027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886924</xdr:colOff>
      <xdr:row>4</xdr:row>
      <xdr:rowOff>276226</xdr:rowOff>
    </xdr:to>
    <xdr:sp macro="" textlink="">
      <xdr:nvSpPr>
        <xdr:cNvPr id="1804" name="AutoShape 1" hidden="1"/>
        <xdr:cNvSpPr>
          <a:spLocks noChangeAspect="1" noChangeArrowheads="1"/>
        </xdr:cNvSpPr>
      </xdr:nvSpPr>
      <xdr:spPr bwMode="auto">
        <a:xfrm>
          <a:off x="4313208" y="329781"/>
          <a:ext cx="278444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829773</xdr:colOff>
      <xdr:row>4</xdr:row>
      <xdr:rowOff>238126</xdr:rowOff>
    </xdr:to>
    <xdr:sp macro="" textlink="">
      <xdr:nvSpPr>
        <xdr:cNvPr id="1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81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734523</xdr:colOff>
      <xdr:row>4</xdr:row>
      <xdr:rowOff>276226</xdr:rowOff>
    </xdr:to>
    <xdr:sp macro="" textlink="">
      <xdr:nvSpPr>
        <xdr:cNvPr id="18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81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1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84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18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84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1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8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18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1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90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19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91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1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1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9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195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95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1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829773</xdr:colOff>
      <xdr:row>4</xdr:row>
      <xdr:rowOff>238126</xdr:rowOff>
    </xdr:to>
    <xdr:sp macro="" textlink="">
      <xdr:nvSpPr>
        <xdr:cNvPr id="1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19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734523</xdr:colOff>
      <xdr:row>4</xdr:row>
      <xdr:rowOff>276226</xdr:rowOff>
    </xdr:to>
    <xdr:sp macro="" textlink="">
      <xdr:nvSpPr>
        <xdr:cNvPr id="20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00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829773</xdr:colOff>
      <xdr:row>4</xdr:row>
      <xdr:rowOff>238126</xdr:rowOff>
    </xdr:to>
    <xdr:sp macro="" textlink="">
      <xdr:nvSpPr>
        <xdr:cNvPr id="2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04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734523</xdr:colOff>
      <xdr:row>4</xdr:row>
      <xdr:rowOff>276226</xdr:rowOff>
    </xdr:to>
    <xdr:sp macro="" textlink="">
      <xdr:nvSpPr>
        <xdr:cNvPr id="20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0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829773</xdr:colOff>
      <xdr:row>4</xdr:row>
      <xdr:rowOff>238126</xdr:rowOff>
    </xdr:to>
    <xdr:sp macro="" textlink="">
      <xdr:nvSpPr>
        <xdr:cNvPr id="2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0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734523</xdr:colOff>
      <xdr:row>4</xdr:row>
      <xdr:rowOff>276226</xdr:rowOff>
    </xdr:to>
    <xdr:sp macro="" textlink="">
      <xdr:nvSpPr>
        <xdr:cNvPr id="20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0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2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1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21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1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2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1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21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1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1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2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2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22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2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829773</xdr:colOff>
      <xdr:row>4</xdr:row>
      <xdr:rowOff>238126</xdr:rowOff>
    </xdr:to>
    <xdr:sp macro="" textlink="">
      <xdr:nvSpPr>
        <xdr:cNvPr id="2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2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734523</xdr:colOff>
      <xdr:row>4</xdr:row>
      <xdr:rowOff>276226</xdr:rowOff>
    </xdr:to>
    <xdr:sp macro="" textlink="">
      <xdr:nvSpPr>
        <xdr:cNvPr id="22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2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829773</xdr:colOff>
      <xdr:row>4</xdr:row>
      <xdr:rowOff>238126</xdr:rowOff>
    </xdr:to>
    <xdr:sp macro="" textlink="">
      <xdr:nvSpPr>
        <xdr:cNvPr id="2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3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734523</xdr:colOff>
      <xdr:row>4</xdr:row>
      <xdr:rowOff>276226</xdr:rowOff>
    </xdr:to>
    <xdr:sp macro="" textlink="">
      <xdr:nvSpPr>
        <xdr:cNvPr id="23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31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1088925</xdr:colOff>
      <xdr:row>4</xdr:row>
      <xdr:rowOff>238126</xdr:rowOff>
    </xdr:to>
    <xdr:sp macro="" textlink="">
      <xdr:nvSpPr>
        <xdr:cNvPr id="2317" name="AutoShape 1" hidden="1"/>
        <xdr:cNvSpPr>
          <a:spLocks noChangeAspect="1" noChangeArrowheads="1"/>
        </xdr:cNvSpPr>
      </xdr:nvSpPr>
      <xdr:spPr bwMode="auto">
        <a:xfrm>
          <a:off x="4313208" y="326187"/>
          <a:ext cx="2803784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993675</xdr:colOff>
      <xdr:row>4</xdr:row>
      <xdr:rowOff>276226</xdr:rowOff>
    </xdr:to>
    <xdr:sp macro="" textlink="">
      <xdr:nvSpPr>
        <xdr:cNvPr id="2318" name="AutoShape 1" hidden="1"/>
        <xdr:cNvSpPr>
          <a:spLocks noChangeAspect="1" noChangeArrowheads="1"/>
        </xdr:cNvSpPr>
      </xdr:nvSpPr>
      <xdr:spPr bwMode="auto">
        <a:xfrm>
          <a:off x="4313208" y="329781"/>
          <a:ext cx="2795122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993675</xdr:colOff>
      <xdr:row>4</xdr:row>
      <xdr:rowOff>238126</xdr:rowOff>
    </xdr:to>
    <xdr:sp macro="" textlink="">
      <xdr:nvSpPr>
        <xdr:cNvPr id="2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9512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993675</xdr:colOff>
      <xdr:row>4</xdr:row>
      <xdr:rowOff>238126</xdr:rowOff>
    </xdr:to>
    <xdr:sp macro="" textlink="">
      <xdr:nvSpPr>
        <xdr:cNvPr id="2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9512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29</xdr:col>
      <xdr:colOff>1088925</xdr:colOff>
      <xdr:row>4</xdr:row>
      <xdr:rowOff>228601</xdr:rowOff>
    </xdr:to>
    <xdr:sp macro="" textlink="">
      <xdr:nvSpPr>
        <xdr:cNvPr id="2321" name="AutoShape 1" hidden="1"/>
        <xdr:cNvSpPr>
          <a:spLocks noChangeAspect="1" noChangeArrowheads="1"/>
        </xdr:cNvSpPr>
      </xdr:nvSpPr>
      <xdr:spPr bwMode="auto">
        <a:xfrm>
          <a:off x="4313208" y="325288"/>
          <a:ext cx="2803784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993675</xdr:colOff>
      <xdr:row>4</xdr:row>
      <xdr:rowOff>276226</xdr:rowOff>
    </xdr:to>
    <xdr:sp macro="" textlink="">
      <xdr:nvSpPr>
        <xdr:cNvPr id="2322" name="AutoShape 1" hidden="1"/>
        <xdr:cNvSpPr>
          <a:spLocks noChangeAspect="1" noChangeArrowheads="1"/>
        </xdr:cNvSpPr>
      </xdr:nvSpPr>
      <xdr:spPr bwMode="auto">
        <a:xfrm>
          <a:off x="4313208" y="329781"/>
          <a:ext cx="2795122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734523</xdr:colOff>
      <xdr:row>4</xdr:row>
      <xdr:rowOff>238126</xdr:rowOff>
    </xdr:to>
    <xdr:sp macro="" textlink="">
      <xdr:nvSpPr>
        <xdr:cNvPr id="2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829773</xdr:colOff>
      <xdr:row>4</xdr:row>
      <xdr:rowOff>238126</xdr:rowOff>
    </xdr:to>
    <xdr:sp macro="" textlink="">
      <xdr:nvSpPr>
        <xdr:cNvPr id="2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36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734523</xdr:colOff>
      <xdr:row>4</xdr:row>
      <xdr:rowOff>276226</xdr:rowOff>
    </xdr:to>
    <xdr:sp macro="" textlink="">
      <xdr:nvSpPr>
        <xdr:cNvPr id="23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3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2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4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24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41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734524</xdr:colOff>
      <xdr:row>4</xdr:row>
      <xdr:rowOff>238126</xdr:rowOff>
    </xdr:to>
    <xdr:sp macro="" textlink="">
      <xdr:nvSpPr>
        <xdr:cNvPr id="2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829774</xdr:colOff>
      <xdr:row>4</xdr:row>
      <xdr:rowOff>238126</xdr:rowOff>
    </xdr:to>
    <xdr:sp macro="" textlink="">
      <xdr:nvSpPr>
        <xdr:cNvPr id="245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45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734524</xdr:colOff>
      <xdr:row>4</xdr:row>
      <xdr:rowOff>276226</xdr:rowOff>
    </xdr:to>
    <xdr:sp macro="" textlink="">
      <xdr:nvSpPr>
        <xdr:cNvPr id="24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45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46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4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4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4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4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4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4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4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4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4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4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2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4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2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4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0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1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3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3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4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5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5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7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5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6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60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6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6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61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6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733020</xdr:colOff>
      <xdr:row>4</xdr:row>
      <xdr:rowOff>238126</xdr:rowOff>
    </xdr:to>
    <xdr:sp macro="" textlink="">
      <xdr:nvSpPr>
        <xdr:cNvPr id="26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828270</xdr:colOff>
      <xdr:row>4</xdr:row>
      <xdr:rowOff>238126</xdr:rowOff>
    </xdr:to>
    <xdr:sp macro="" textlink="">
      <xdr:nvSpPr>
        <xdr:cNvPr id="2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581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6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29</xdr:col>
      <xdr:colOff>733886</xdr:colOff>
      <xdr:row>4</xdr:row>
      <xdr:rowOff>295275</xdr:rowOff>
    </xdr:to>
    <xdr:sp macro="" textlink="">
      <xdr:nvSpPr>
        <xdr:cNvPr id="2667" name="AutoShape 1" hidden="1"/>
        <xdr:cNvSpPr>
          <a:spLocks noChangeAspect="1" noChangeArrowheads="1"/>
        </xdr:cNvSpPr>
      </xdr:nvSpPr>
      <xdr:spPr bwMode="auto">
        <a:xfrm>
          <a:off x="4313208" y="327804"/>
          <a:ext cx="2769143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6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29</xdr:col>
      <xdr:colOff>346961</xdr:colOff>
      <xdr:row>4</xdr:row>
      <xdr:rowOff>218575</xdr:rowOff>
    </xdr:to>
    <xdr:sp macro="" textlink="">
      <xdr:nvSpPr>
        <xdr:cNvPr id="2675" name="AutoShape 1" hidden="1"/>
        <xdr:cNvSpPr>
          <a:spLocks noChangeAspect="1" noChangeArrowheads="1"/>
        </xdr:cNvSpPr>
      </xdr:nvSpPr>
      <xdr:spPr bwMode="auto">
        <a:xfrm>
          <a:off x="30192453" y="323888"/>
          <a:ext cx="1425263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1388920</xdr:colOff>
      <xdr:row>4</xdr:row>
      <xdr:rowOff>295275</xdr:rowOff>
    </xdr:to>
    <xdr:sp macro="" textlink="">
      <xdr:nvSpPr>
        <xdr:cNvPr id="2676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6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271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271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238125</xdr:rowOff>
    </xdr:from>
    <xdr:to>
      <xdr:col>29</xdr:col>
      <xdr:colOff>823757</xdr:colOff>
      <xdr:row>4</xdr:row>
      <xdr:rowOff>219076</xdr:rowOff>
    </xdr:to>
    <xdr:sp macro="" textlink="">
      <xdr:nvSpPr>
        <xdr:cNvPr id="2750" name="AutoShape 1" hidden="1"/>
        <xdr:cNvSpPr>
          <a:spLocks noChangeAspect="1" noChangeArrowheads="1"/>
        </xdr:cNvSpPr>
      </xdr:nvSpPr>
      <xdr:spPr bwMode="auto">
        <a:xfrm>
          <a:off x="4313208" y="324389"/>
          <a:ext cx="27781304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27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27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27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27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2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2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275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27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27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2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27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27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27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2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2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2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27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2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27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2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27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2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277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2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2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2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27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278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27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27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27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27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27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2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2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27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27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279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279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7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27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27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80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80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28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84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28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8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2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2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8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28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8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2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9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29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9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2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9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29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29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29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0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0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0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0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0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0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3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1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31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11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3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1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31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1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1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16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1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1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3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31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3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3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3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317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3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31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3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318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1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19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1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19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1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20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2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20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2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2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21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22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2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22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22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23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3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32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3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3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3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323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3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324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3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32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3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324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3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3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3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32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3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32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3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325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32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32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3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3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3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32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3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32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3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32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27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2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2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27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2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3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32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3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3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3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32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3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32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3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32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29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2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30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3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3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30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3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31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3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31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31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31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3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3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3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32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33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3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33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29</xdr:col>
      <xdr:colOff>728508</xdr:colOff>
      <xdr:row>4</xdr:row>
      <xdr:rowOff>228601</xdr:rowOff>
    </xdr:to>
    <xdr:sp macro="" textlink="">
      <xdr:nvSpPr>
        <xdr:cNvPr id="3341" name="AutoShape 1" hidden="1"/>
        <xdr:cNvSpPr>
          <a:spLocks noChangeAspect="1" noChangeArrowheads="1"/>
        </xdr:cNvSpPr>
      </xdr:nvSpPr>
      <xdr:spPr bwMode="auto">
        <a:xfrm>
          <a:off x="4313208" y="325288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3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334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3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3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3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334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334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334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3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33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3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335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3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652307</xdr:colOff>
      <xdr:row>4</xdr:row>
      <xdr:rowOff>238126</xdr:rowOff>
    </xdr:to>
    <xdr:sp macro="" textlink="">
      <xdr:nvSpPr>
        <xdr:cNvPr id="3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747557</xdr:colOff>
      <xdr:row>4</xdr:row>
      <xdr:rowOff>238126</xdr:rowOff>
    </xdr:to>
    <xdr:sp macro="" textlink="">
      <xdr:nvSpPr>
        <xdr:cNvPr id="3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652307</xdr:colOff>
      <xdr:row>4</xdr:row>
      <xdr:rowOff>276226</xdr:rowOff>
    </xdr:to>
    <xdr:sp macro="" textlink="">
      <xdr:nvSpPr>
        <xdr:cNvPr id="33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3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336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728507</xdr:colOff>
      <xdr:row>4</xdr:row>
      <xdr:rowOff>238126</xdr:rowOff>
    </xdr:to>
    <xdr:sp macro="" textlink="">
      <xdr:nvSpPr>
        <xdr:cNvPr id="3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823757</xdr:colOff>
      <xdr:row>4</xdr:row>
      <xdr:rowOff>238126</xdr:rowOff>
    </xdr:to>
    <xdr:sp macro="" textlink="">
      <xdr:nvSpPr>
        <xdr:cNvPr id="3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728507</xdr:colOff>
      <xdr:row>4</xdr:row>
      <xdr:rowOff>276226</xdr:rowOff>
    </xdr:to>
    <xdr:sp macro="" textlink="">
      <xdr:nvSpPr>
        <xdr:cNvPr id="33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747558</xdr:colOff>
      <xdr:row>4</xdr:row>
      <xdr:rowOff>238126</xdr:rowOff>
    </xdr:to>
    <xdr:sp macro="" textlink="">
      <xdr:nvSpPr>
        <xdr:cNvPr id="33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36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652308</xdr:colOff>
      <xdr:row>4</xdr:row>
      <xdr:rowOff>238126</xdr:rowOff>
    </xdr:to>
    <xdr:sp macro="" textlink="">
      <xdr:nvSpPr>
        <xdr:cNvPr id="3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5195</xdr:rowOff>
    </xdr:from>
    <xdr:to>
      <xdr:col>29</xdr:col>
      <xdr:colOff>747558</xdr:colOff>
      <xdr:row>4</xdr:row>
      <xdr:rowOff>303934</xdr:rowOff>
    </xdr:to>
    <xdr:sp macro="" textlink="">
      <xdr:nvSpPr>
        <xdr:cNvPr id="3370" name="AutoShape 1" hidden="1"/>
        <xdr:cNvSpPr>
          <a:spLocks noChangeAspect="1" noChangeArrowheads="1"/>
        </xdr:cNvSpPr>
      </xdr:nvSpPr>
      <xdr:spPr bwMode="auto">
        <a:xfrm>
          <a:off x="4313208" y="332999"/>
          <a:ext cx="27705105" cy="48852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652308</xdr:colOff>
      <xdr:row>4</xdr:row>
      <xdr:rowOff>276226</xdr:rowOff>
    </xdr:to>
    <xdr:sp macro="" textlink="">
      <xdr:nvSpPr>
        <xdr:cNvPr id="33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728508</xdr:colOff>
      <xdr:row>4</xdr:row>
      <xdr:rowOff>276226</xdr:rowOff>
    </xdr:to>
    <xdr:sp macro="" textlink="">
      <xdr:nvSpPr>
        <xdr:cNvPr id="33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728508</xdr:colOff>
      <xdr:row>4</xdr:row>
      <xdr:rowOff>238126</xdr:rowOff>
    </xdr:to>
    <xdr:sp macro="" textlink="">
      <xdr:nvSpPr>
        <xdr:cNvPr id="3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823758</xdr:colOff>
      <xdr:row>4</xdr:row>
      <xdr:rowOff>238126</xdr:rowOff>
    </xdr:to>
    <xdr:sp macro="" textlink="">
      <xdr:nvSpPr>
        <xdr:cNvPr id="3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5195</xdr:rowOff>
    </xdr:from>
    <xdr:to>
      <xdr:col>29</xdr:col>
      <xdr:colOff>728508</xdr:colOff>
      <xdr:row>4</xdr:row>
      <xdr:rowOff>303934</xdr:rowOff>
    </xdr:to>
    <xdr:sp macro="" textlink="">
      <xdr:nvSpPr>
        <xdr:cNvPr id="3377" name="AutoShape 1" hidden="1"/>
        <xdr:cNvSpPr>
          <a:spLocks noChangeAspect="1" noChangeArrowheads="1"/>
        </xdr:cNvSpPr>
      </xdr:nvSpPr>
      <xdr:spPr bwMode="auto">
        <a:xfrm>
          <a:off x="4313208" y="332999"/>
          <a:ext cx="27686055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37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37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38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38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38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38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38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38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38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38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38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38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39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39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39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39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39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39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39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39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39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39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0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0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0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0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0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0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0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0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0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0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1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1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1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1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1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1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1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1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1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1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2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2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2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2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2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2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2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2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2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2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3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3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3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3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3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538249</xdr:colOff>
      <xdr:row>4</xdr:row>
      <xdr:rowOff>238126</xdr:rowOff>
    </xdr:to>
    <xdr:sp macro="" textlink="">
      <xdr:nvSpPr>
        <xdr:cNvPr id="343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538249</xdr:colOff>
      <xdr:row>4</xdr:row>
      <xdr:rowOff>238126</xdr:rowOff>
    </xdr:to>
    <xdr:sp macro="" textlink="">
      <xdr:nvSpPr>
        <xdr:cNvPr id="343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538249</xdr:colOff>
      <xdr:row>4</xdr:row>
      <xdr:rowOff>238126</xdr:rowOff>
    </xdr:to>
    <xdr:sp macro="" textlink="">
      <xdr:nvSpPr>
        <xdr:cNvPr id="343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538249</xdr:colOff>
      <xdr:row>4</xdr:row>
      <xdr:rowOff>276226</xdr:rowOff>
    </xdr:to>
    <xdr:sp macro="" textlink="">
      <xdr:nvSpPr>
        <xdr:cNvPr id="343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18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3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4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4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4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4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44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4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4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4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4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4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5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5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5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5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5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5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5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5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5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5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6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6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6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142</xdr:col>
      <xdr:colOff>539114</xdr:colOff>
      <xdr:row>4</xdr:row>
      <xdr:rowOff>218575</xdr:rowOff>
    </xdr:to>
    <xdr:sp macro="" textlink="">
      <xdr:nvSpPr>
        <xdr:cNvPr id="3463" name="AutoShape 1" hidden="1"/>
        <xdr:cNvSpPr>
          <a:spLocks noChangeAspect="1" noChangeArrowheads="1"/>
        </xdr:cNvSpPr>
      </xdr:nvSpPr>
      <xdr:spPr bwMode="auto">
        <a:xfrm>
          <a:off x="4313208" y="323888"/>
          <a:ext cx="49062698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6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6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6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6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6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6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7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7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7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7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7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7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7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7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7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7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8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8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8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8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8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8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8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8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8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8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9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9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9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9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9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9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9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9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49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49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0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0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50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0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504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0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0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0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50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0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1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1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1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1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1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1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1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1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1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1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2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2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2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2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2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2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2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2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2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2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3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53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3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3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3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53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3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53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3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3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4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54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4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54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4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4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4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54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4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54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5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5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142</xdr:col>
      <xdr:colOff>539114</xdr:colOff>
      <xdr:row>4</xdr:row>
      <xdr:rowOff>238126</xdr:rowOff>
    </xdr:to>
    <xdr:sp macro="" textlink="">
      <xdr:nvSpPr>
        <xdr:cNvPr id="355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142</xdr:col>
      <xdr:colOff>539114</xdr:colOff>
      <xdr:row>4</xdr:row>
      <xdr:rowOff>276226</xdr:rowOff>
    </xdr:to>
    <xdr:sp macro="" textlink="">
      <xdr:nvSpPr>
        <xdr:cNvPr id="355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246283</xdr:rowOff>
    </xdr:from>
    <xdr:to>
      <xdr:col>142</xdr:col>
      <xdr:colOff>495818</xdr:colOff>
      <xdr:row>4</xdr:row>
      <xdr:rowOff>227234</xdr:rowOff>
    </xdr:to>
    <xdr:sp macro="" textlink="">
      <xdr:nvSpPr>
        <xdr:cNvPr id="3554" name="AutoShape 1" hidden="1"/>
        <xdr:cNvSpPr>
          <a:spLocks noChangeAspect="1" noChangeArrowheads="1"/>
        </xdr:cNvSpPr>
      </xdr:nvSpPr>
      <xdr:spPr bwMode="auto">
        <a:xfrm>
          <a:off x="4313208" y="323921"/>
          <a:ext cx="49019402" cy="49853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5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5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5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5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5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6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6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6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63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6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6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6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6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6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6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7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7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7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73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7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1067931</xdr:colOff>
      <xdr:row>4</xdr:row>
      <xdr:rowOff>238126</xdr:rowOff>
    </xdr:to>
    <xdr:sp macro="" textlink="">
      <xdr:nvSpPr>
        <xdr:cNvPr id="357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1065202</xdr:colOff>
      <xdr:row>4</xdr:row>
      <xdr:rowOff>238126</xdr:rowOff>
    </xdr:to>
    <xdr:sp macro="" textlink="">
      <xdr:nvSpPr>
        <xdr:cNvPr id="357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39</xdr:col>
      <xdr:colOff>1065202</xdr:colOff>
      <xdr:row>4</xdr:row>
      <xdr:rowOff>276226</xdr:rowOff>
    </xdr:to>
    <xdr:sp macro="" textlink="">
      <xdr:nvSpPr>
        <xdr:cNvPr id="3577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1065202</xdr:colOff>
      <xdr:row>4</xdr:row>
      <xdr:rowOff>238126</xdr:rowOff>
    </xdr:to>
    <xdr:sp macro="" textlink="">
      <xdr:nvSpPr>
        <xdr:cNvPr id="357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1065202</xdr:colOff>
      <xdr:row>4</xdr:row>
      <xdr:rowOff>238126</xdr:rowOff>
    </xdr:to>
    <xdr:sp macro="" textlink="">
      <xdr:nvSpPr>
        <xdr:cNvPr id="357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1065202</xdr:colOff>
      <xdr:row>4</xdr:row>
      <xdr:rowOff>238126</xdr:rowOff>
    </xdr:to>
    <xdr:sp macro="" textlink="">
      <xdr:nvSpPr>
        <xdr:cNvPr id="358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39</xdr:col>
      <xdr:colOff>1065202</xdr:colOff>
      <xdr:row>4</xdr:row>
      <xdr:rowOff>276226</xdr:rowOff>
    </xdr:to>
    <xdr:sp macro="" textlink="">
      <xdr:nvSpPr>
        <xdr:cNvPr id="3581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1065202</xdr:colOff>
      <xdr:row>4</xdr:row>
      <xdr:rowOff>238126</xdr:rowOff>
    </xdr:to>
    <xdr:sp macro="" textlink="">
      <xdr:nvSpPr>
        <xdr:cNvPr id="358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39</xdr:col>
      <xdr:colOff>1065202</xdr:colOff>
      <xdr:row>4</xdr:row>
      <xdr:rowOff>276226</xdr:rowOff>
    </xdr:to>
    <xdr:sp macro="" textlink="">
      <xdr:nvSpPr>
        <xdr:cNvPr id="3583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1065202</xdr:colOff>
      <xdr:row>4</xdr:row>
      <xdr:rowOff>238126</xdr:rowOff>
    </xdr:to>
    <xdr:sp macro="" textlink="">
      <xdr:nvSpPr>
        <xdr:cNvPr id="358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1065202</xdr:colOff>
      <xdr:row>4</xdr:row>
      <xdr:rowOff>238126</xdr:rowOff>
    </xdr:to>
    <xdr:sp macro="" textlink="">
      <xdr:nvSpPr>
        <xdr:cNvPr id="358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1065202</xdr:colOff>
      <xdr:row>4</xdr:row>
      <xdr:rowOff>238126</xdr:rowOff>
    </xdr:to>
    <xdr:sp macro="" textlink="">
      <xdr:nvSpPr>
        <xdr:cNvPr id="358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39</xdr:col>
      <xdr:colOff>1065202</xdr:colOff>
      <xdr:row>4</xdr:row>
      <xdr:rowOff>276226</xdr:rowOff>
    </xdr:to>
    <xdr:sp macro="" textlink="">
      <xdr:nvSpPr>
        <xdr:cNvPr id="3587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1065202</xdr:colOff>
      <xdr:row>4</xdr:row>
      <xdr:rowOff>238126</xdr:rowOff>
    </xdr:to>
    <xdr:sp macro="" textlink="">
      <xdr:nvSpPr>
        <xdr:cNvPr id="358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39</xdr:col>
      <xdr:colOff>1065202</xdr:colOff>
      <xdr:row>4</xdr:row>
      <xdr:rowOff>276226</xdr:rowOff>
    </xdr:to>
    <xdr:sp macro="" textlink="">
      <xdr:nvSpPr>
        <xdr:cNvPr id="3589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1065202</xdr:colOff>
      <xdr:row>4</xdr:row>
      <xdr:rowOff>238126</xdr:rowOff>
    </xdr:to>
    <xdr:sp macro="" textlink="">
      <xdr:nvSpPr>
        <xdr:cNvPr id="359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1065202</xdr:colOff>
      <xdr:row>4</xdr:row>
      <xdr:rowOff>238126</xdr:rowOff>
    </xdr:to>
    <xdr:sp macro="" textlink="">
      <xdr:nvSpPr>
        <xdr:cNvPr id="359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1065202</xdr:colOff>
      <xdr:row>4</xdr:row>
      <xdr:rowOff>238126</xdr:rowOff>
    </xdr:to>
    <xdr:sp macro="" textlink="">
      <xdr:nvSpPr>
        <xdr:cNvPr id="359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39</xdr:col>
      <xdr:colOff>1065202</xdr:colOff>
      <xdr:row>4</xdr:row>
      <xdr:rowOff>276226</xdr:rowOff>
    </xdr:to>
    <xdr:sp macro="" textlink="">
      <xdr:nvSpPr>
        <xdr:cNvPr id="3593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1065202</xdr:colOff>
      <xdr:row>4</xdr:row>
      <xdr:rowOff>238126</xdr:rowOff>
    </xdr:to>
    <xdr:sp macro="" textlink="">
      <xdr:nvSpPr>
        <xdr:cNvPr id="359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39</xdr:col>
      <xdr:colOff>1065202</xdr:colOff>
      <xdr:row>4</xdr:row>
      <xdr:rowOff>276226</xdr:rowOff>
    </xdr:to>
    <xdr:sp macro="" textlink="">
      <xdr:nvSpPr>
        <xdr:cNvPr id="3595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1065202</xdr:colOff>
      <xdr:row>4</xdr:row>
      <xdr:rowOff>238126</xdr:rowOff>
    </xdr:to>
    <xdr:sp macro="" textlink="">
      <xdr:nvSpPr>
        <xdr:cNvPr id="359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1065202</xdr:colOff>
      <xdr:row>4</xdr:row>
      <xdr:rowOff>238126</xdr:rowOff>
    </xdr:to>
    <xdr:sp macro="" textlink="">
      <xdr:nvSpPr>
        <xdr:cNvPr id="359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39</xdr:col>
      <xdr:colOff>1065202</xdr:colOff>
      <xdr:row>4</xdr:row>
      <xdr:rowOff>238126</xdr:rowOff>
    </xdr:to>
    <xdr:sp macro="" textlink="">
      <xdr:nvSpPr>
        <xdr:cNvPr id="359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39</xdr:col>
      <xdr:colOff>1065202</xdr:colOff>
      <xdr:row>4</xdr:row>
      <xdr:rowOff>276226</xdr:rowOff>
    </xdr:to>
    <xdr:sp macro="" textlink="">
      <xdr:nvSpPr>
        <xdr:cNvPr id="3599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39</xdr:col>
      <xdr:colOff>1050887</xdr:colOff>
      <xdr:row>4</xdr:row>
      <xdr:rowOff>218575</xdr:rowOff>
    </xdr:to>
    <xdr:sp macro="" textlink="">
      <xdr:nvSpPr>
        <xdr:cNvPr id="3600" name="AutoShape 1" hidden="1"/>
        <xdr:cNvSpPr>
          <a:spLocks noChangeAspect="1" noChangeArrowheads="1"/>
        </xdr:cNvSpPr>
      </xdr:nvSpPr>
      <xdr:spPr bwMode="auto">
        <a:xfrm>
          <a:off x="4313208" y="323888"/>
          <a:ext cx="38791453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6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1188894</xdr:colOff>
      <xdr:row>4</xdr:row>
      <xdr:rowOff>218575</xdr:rowOff>
    </xdr:to>
    <xdr:sp macro="" textlink="">
      <xdr:nvSpPr>
        <xdr:cNvPr id="3649" name="AutoShape 1" hidden="1"/>
        <xdr:cNvSpPr>
          <a:spLocks noChangeAspect="1" noChangeArrowheads="1"/>
        </xdr:cNvSpPr>
      </xdr:nvSpPr>
      <xdr:spPr bwMode="auto">
        <a:xfrm>
          <a:off x="2156604" y="323888"/>
          <a:ext cx="1076751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6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3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37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3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3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8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8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1284144</xdr:colOff>
      <xdr:row>4</xdr:row>
      <xdr:rowOff>218575</xdr:rowOff>
    </xdr:to>
    <xdr:sp macro="" textlink="">
      <xdr:nvSpPr>
        <xdr:cNvPr id="3859" name="AutoShape 1" hidden="1"/>
        <xdr:cNvSpPr>
          <a:spLocks noChangeAspect="1" noChangeArrowheads="1"/>
        </xdr:cNvSpPr>
      </xdr:nvSpPr>
      <xdr:spPr bwMode="auto">
        <a:xfrm>
          <a:off x="2156604" y="323888"/>
          <a:ext cx="107711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1171577</xdr:colOff>
      <xdr:row>4</xdr:row>
      <xdr:rowOff>295275</xdr:rowOff>
    </xdr:to>
    <xdr:sp macro="" textlink="">
      <xdr:nvSpPr>
        <xdr:cNvPr id="3860" name="AutoShape 1" hidden="1"/>
        <xdr:cNvSpPr>
          <a:spLocks noChangeAspect="1" noChangeArrowheads="1"/>
        </xdr:cNvSpPr>
      </xdr:nvSpPr>
      <xdr:spPr bwMode="auto">
        <a:xfrm>
          <a:off x="2156604" y="327804"/>
          <a:ext cx="107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6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6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7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7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7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8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8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8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9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9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9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9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8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346961</xdr:colOff>
      <xdr:row>4</xdr:row>
      <xdr:rowOff>238126</xdr:rowOff>
    </xdr:to>
    <xdr:sp macro="" textlink="">
      <xdr:nvSpPr>
        <xdr:cNvPr id="390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31</xdr:col>
      <xdr:colOff>98382</xdr:colOff>
      <xdr:row>4</xdr:row>
      <xdr:rowOff>238126</xdr:rowOff>
    </xdr:to>
    <xdr:sp macro="" textlink="">
      <xdr:nvSpPr>
        <xdr:cNvPr id="3901" name="AutoShape 1" hidden="1"/>
        <xdr:cNvSpPr>
          <a:spLocks noChangeAspect="1" noChangeArrowheads="1"/>
        </xdr:cNvSpPr>
      </xdr:nvSpPr>
      <xdr:spPr bwMode="auto">
        <a:xfrm>
          <a:off x="4313208" y="326187"/>
          <a:ext cx="29212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3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2181577</xdr:colOff>
      <xdr:row>4</xdr:row>
      <xdr:rowOff>238126</xdr:rowOff>
    </xdr:to>
    <xdr:sp macro="" textlink="">
      <xdr:nvSpPr>
        <xdr:cNvPr id="3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3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2181577</xdr:colOff>
      <xdr:row>4</xdr:row>
      <xdr:rowOff>238126</xdr:rowOff>
    </xdr:to>
    <xdr:sp macro="" textlink="">
      <xdr:nvSpPr>
        <xdr:cNvPr id="3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3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3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3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3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3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3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3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39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3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3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3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394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3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446176</xdr:colOff>
      <xdr:row>4</xdr:row>
      <xdr:rowOff>238126</xdr:rowOff>
    </xdr:to>
    <xdr:sp macro="" textlink="">
      <xdr:nvSpPr>
        <xdr:cNvPr id="3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4037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3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350926</xdr:colOff>
      <xdr:row>4</xdr:row>
      <xdr:rowOff>276226</xdr:rowOff>
    </xdr:to>
    <xdr:sp macro="" textlink="">
      <xdr:nvSpPr>
        <xdr:cNvPr id="3947" name="AutoShape 1" hidden="1"/>
        <xdr:cNvSpPr>
          <a:spLocks noChangeAspect="1" noChangeArrowheads="1"/>
        </xdr:cNvSpPr>
      </xdr:nvSpPr>
      <xdr:spPr bwMode="auto">
        <a:xfrm>
          <a:off x="4313208" y="329781"/>
          <a:ext cx="2730847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3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3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39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3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396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3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3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3988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3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02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29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38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31</xdr:col>
      <xdr:colOff>98270</xdr:colOff>
      <xdr:row>4</xdr:row>
      <xdr:rowOff>238126</xdr:rowOff>
    </xdr:to>
    <xdr:sp macro="" textlink="">
      <xdr:nvSpPr>
        <xdr:cNvPr id="4525" name="AutoShape 1" hidden="1"/>
        <xdr:cNvSpPr>
          <a:spLocks noChangeAspect="1" noChangeArrowheads="1"/>
        </xdr:cNvSpPr>
      </xdr:nvSpPr>
      <xdr:spPr bwMode="auto">
        <a:xfrm>
          <a:off x="4313208" y="326187"/>
          <a:ext cx="292124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4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2170918</xdr:colOff>
      <xdr:row>4</xdr:row>
      <xdr:rowOff>238126</xdr:rowOff>
    </xdr:to>
    <xdr:sp macro="" textlink="">
      <xdr:nvSpPr>
        <xdr:cNvPr id="4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2170918</xdr:colOff>
      <xdr:row>4</xdr:row>
      <xdr:rowOff>238126</xdr:rowOff>
    </xdr:to>
    <xdr:sp macro="" textlink="">
      <xdr:nvSpPr>
        <xdr:cNvPr id="4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45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4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4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4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4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5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432367</xdr:colOff>
      <xdr:row>4</xdr:row>
      <xdr:rowOff>238126</xdr:rowOff>
    </xdr:to>
    <xdr:sp macro="" textlink="">
      <xdr:nvSpPr>
        <xdr:cNvPr id="4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3899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4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344911</xdr:colOff>
      <xdr:row>4</xdr:row>
      <xdr:rowOff>276226</xdr:rowOff>
    </xdr:to>
    <xdr:sp macro="" textlink="">
      <xdr:nvSpPr>
        <xdr:cNvPr id="4572" name="AutoShape 1" hidden="1"/>
        <xdr:cNvSpPr>
          <a:spLocks noChangeAspect="1" noChangeArrowheads="1"/>
        </xdr:cNvSpPr>
      </xdr:nvSpPr>
      <xdr:spPr bwMode="auto">
        <a:xfrm>
          <a:off x="4313208" y="329781"/>
          <a:ext cx="2730245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4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4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4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4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4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4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4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4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4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4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4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7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4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48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9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0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0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1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1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2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2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2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2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2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2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2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3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37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2069522</xdr:colOff>
      <xdr:row>15</xdr:row>
      <xdr:rowOff>300106</xdr:rowOff>
    </xdr:to>
    <xdr:sp macro="" textlink="">
      <xdr:nvSpPr>
        <xdr:cNvPr id="5395" name="AutoShape 1" hidden="1"/>
        <xdr:cNvSpPr>
          <a:spLocks noChangeAspect="1" noChangeArrowheads="1"/>
        </xdr:cNvSpPr>
      </xdr:nvSpPr>
      <xdr:spPr bwMode="auto">
        <a:xfrm>
          <a:off x="2156604" y="2130725"/>
          <a:ext cx="1077484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4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4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4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4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39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6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2397923</xdr:colOff>
      <xdr:row>4</xdr:row>
      <xdr:rowOff>238126</xdr:rowOff>
    </xdr:to>
    <xdr:sp macro="" textlink="">
      <xdr:nvSpPr>
        <xdr:cNvPr id="5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0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2302673</xdr:colOff>
      <xdr:row>4</xdr:row>
      <xdr:rowOff>276226</xdr:rowOff>
    </xdr:to>
    <xdr:sp macro="" textlink="">
      <xdr:nvSpPr>
        <xdr:cNvPr id="5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7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5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5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5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1145598</xdr:colOff>
      <xdr:row>4</xdr:row>
      <xdr:rowOff>218575</xdr:rowOff>
    </xdr:to>
    <xdr:sp macro="" textlink="">
      <xdr:nvSpPr>
        <xdr:cNvPr id="5687" name="AutoShape 1" hidden="1"/>
        <xdr:cNvSpPr>
          <a:spLocks noChangeAspect="1" noChangeArrowheads="1"/>
        </xdr:cNvSpPr>
      </xdr:nvSpPr>
      <xdr:spPr bwMode="auto">
        <a:xfrm>
          <a:off x="2156604" y="323888"/>
          <a:ext cx="1076587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671312</xdr:colOff>
      <xdr:row>4</xdr:row>
      <xdr:rowOff>238126</xdr:rowOff>
    </xdr:to>
    <xdr:sp macro="" textlink="">
      <xdr:nvSpPr>
        <xdr:cNvPr id="5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288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2302673</xdr:colOff>
      <xdr:row>4</xdr:row>
      <xdr:rowOff>238126</xdr:rowOff>
    </xdr:to>
    <xdr:sp macro="" textlink="">
      <xdr:nvSpPr>
        <xdr:cNvPr id="5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7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576062</xdr:colOff>
      <xdr:row>4</xdr:row>
      <xdr:rowOff>276226</xdr:rowOff>
    </xdr:to>
    <xdr:sp macro="" textlink="">
      <xdr:nvSpPr>
        <xdr:cNvPr id="5700" name="AutoShape 1" hidden="1"/>
        <xdr:cNvSpPr>
          <a:spLocks noChangeAspect="1" noChangeArrowheads="1"/>
        </xdr:cNvSpPr>
      </xdr:nvSpPr>
      <xdr:spPr bwMode="auto">
        <a:xfrm>
          <a:off x="4313208" y="329781"/>
          <a:ext cx="2753360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2302673</xdr:colOff>
      <xdr:row>4</xdr:row>
      <xdr:rowOff>238126</xdr:rowOff>
    </xdr:to>
    <xdr:sp macro="" textlink="">
      <xdr:nvSpPr>
        <xdr:cNvPr id="5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7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2397923</xdr:colOff>
      <xdr:row>4</xdr:row>
      <xdr:rowOff>238126</xdr:rowOff>
    </xdr:to>
    <xdr:sp macro="" textlink="">
      <xdr:nvSpPr>
        <xdr:cNvPr id="5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0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2302673</xdr:colOff>
      <xdr:row>4</xdr:row>
      <xdr:rowOff>276226</xdr:rowOff>
    </xdr:to>
    <xdr:sp macro="" textlink="">
      <xdr:nvSpPr>
        <xdr:cNvPr id="5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7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85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94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03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07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12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6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6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616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6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6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621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2416973</xdr:colOff>
      <xdr:row>4</xdr:row>
      <xdr:rowOff>238126</xdr:rowOff>
    </xdr:to>
    <xdr:sp macro="" textlink="">
      <xdr:nvSpPr>
        <xdr:cNvPr id="6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2378873</xdr:colOff>
      <xdr:row>4</xdr:row>
      <xdr:rowOff>276226</xdr:rowOff>
    </xdr:to>
    <xdr:sp macro="" textlink="">
      <xdr:nvSpPr>
        <xdr:cNvPr id="6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2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2378873</xdr:colOff>
      <xdr:row>4</xdr:row>
      <xdr:rowOff>238126</xdr:rowOff>
    </xdr:to>
    <xdr:sp macro="" textlink="">
      <xdr:nvSpPr>
        <xdr:cNvPr id="6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2378873</xdr:colOff>
      <xdr:row>4</xdr:row>
      <xdr:rowOff>238126</xdr:rowOff>
    </xdr:to>
    <xdr:sp macro="" textlink="">
      <xdr:nvSpPr>
        <xdr:cNvPr id="6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2416973</xdr:colOff>
      <xdr:row>4</xdr:row>
      <xdr:rowOff>238126</xdr:rowOff>
    </xdr:to>
    <xdr:sp macro="" textlink="">
      <xdr:nvSpPr>
        <xdr:cNvPr id="6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2378873</xdr:colOff>
      <xdr:row>4</xdr:row>
      <xdr:rowOff>276226</xdr:rowOff>
    </xdr:to>
    <xdr:sp macro="" textlink="">
      <xdr:nvSpPr>
        <xdr:cNvPr id="62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2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6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6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3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3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6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63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6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63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2244019</xdr:colOff>
      <xdr:row>4</xdr:row>
      <xdr:rowOff>238126</xdr:rowOff>
    </xdr:to>
    <xdr:sp macro="" textlink="">
      <xdr:nvSpPr>
        <xdr:cNvPr id="6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2149635</xdr:colOff>
      <xdr:row>4</xdr:row>
      <xdr:rowOff>295275</xdr:rowOff>
    </xdr:to>
    <xdr:sp macro="" textlink="">
      <xdr:nvSpPr>
        <xdr:cNvPr id="6566" name="AutoShape 1" hidden="1"/>
        <xdr:cNvSpPr>
          <a:spLocks noChangeAspect="1" noChangeArrowheads="1"/>
        </xdr:cNvSpPr>
      </xdr:nvSpPr>
      <xdr:spPr bwMode="auto">
        <a:xfrm>
          <a:off x="2156604" y="327804"/>
          <a:ext cx="1079960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1212273</xdr:colOff>
      <xdr:row>4</xdr:row>
      <xdr:rowOff>218575</xdr:rowOff>
    </xdr:to>
    <xdr:sp macro="" textlink="">
      <xdr:nvSpPr>
        <xdr:cNvPr id="6574" name="AutoShape 1" hidden="1"/>
        <xdr:cNvSpPr>
          <a:spLocks noChangeAspect="1" noChangeArrowheads="1"/>
        </xdr:cNvSpPr>
      </xdr:nvSpPr>
      <xdr:spPr bwMode="auto">
        <a:xfrm>
          <a:off x="2156604" y="323888"/>
          <a:ext cx="107425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1146465</xdr:colOff>
      <xdr:row>4</xdr:row>
      <xdr:rowOff>295275</xdr:rowOff>
    </xdr:to>
    <xdr:sp macro="" textlink="">
      <xdr:nvSpPr>
        <xdr:cNvPr id="6575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4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2239506</xdr:colOff>
      <xdr:row>4</xdr:row>
      <xdr:rowOff>219076</xdr:rowOff>
    </xdr:to>
    <xdr:sp macro="" textlink="">
      <xdr:nvSpPr>
        <xdr:cNvPr id="6649" name="AutoShape 1" hidden="1"/>
        <xdr:cNvSpPr>
          <a:spLocks noChangeAspect="1" noChangeArrowheads="1"/>
        </xdr:cNvSpPr>
      </xdr:nvSpPr>
      <xdr:spPr bwMode="auto">
        <a:xfrm>
          <a:off x="2156604" y="324389"/>
          <a:ext cx="107494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6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7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6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8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9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9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0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0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2144257</xdr:colOff>
      <xdr:row>4</xdr:row>
      <xdr:rowOff>228601</xdr:rowOff>
    </xdr:to>
    <xdr:sp macro="" textlink="">
      <xdr:nvSpPr>
        <xdr:cNvPr id="7240" name="AutoShape 1" hidden="1"/>
        <xdr:cNvSpPr>
          <a:spLocks noChangeAspect="1" noChangeArrowheads="1"/>
        </xdr:cNvSpPr>
      </xdr:nvSpPr>
      <xdr:spPr bwMode="auto">
        <a:xfrm>
          <a:off x="2156604" y="325288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27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27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27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28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2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2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28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2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2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2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287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28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2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2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29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29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2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2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29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29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2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2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29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0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0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0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0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0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1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1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1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1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1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1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1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1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2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2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2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32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2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946438</xdr:colOff>
      <xdr:row>4</xdr:row>
      <xdr:rowOff>218575</xdr:rowOff>
    </xdr:to>
    <xdr:sp macro="" textlink="">
      <xdr:nvSpPr>
        <xdr:cNvPr id="7325" name="AutoShape 1" hidden="1"/>
        <xdr:cNvSpPr>
          <a:spLocks noChangeAspect="1" noChangeArrowheads="1"/>
        </xdr:cNvSpPr>
      </xdr:nvSpPr>
      <xdr:spPr bwMode="auto">
        <a:xfrm>
          <a:off x="30192453" y="323888"/>
          <a:ext cx="946438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2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2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3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3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3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4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4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4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4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4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5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5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5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5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5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36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6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6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36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36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6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6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36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36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36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3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371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37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37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3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375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7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7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3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379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8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8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3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383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3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38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3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387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38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38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3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946436</xdr:colOff>
      <xdr:row>4</xdr:row>
      <xdr:rowOff>238126</xdr:rowOff>
    </xdr:to>
    <xdr:sp macro="" textlink="">
      <xdr:nvSpPr>
        <xdr:cNvPr id="739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946436</xdr:colOff>
      <xdr:row>4</xdr:row>
      <xdr:rowOff>238126</xdr:rowOff>
    </xdr:to>
    <xdr:sp macro="" textlink="">
      <xdr:nvSpPr>
        <xdr:cNvPr id="739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1041686</xdr:colOff>
      <xdr:row>4</xdr:row>
      <xdr:rowOff>238126</xdr:rowOff>
    </xdr:to>
    <xdr:sp macro="" textlink="">
      <xdr:nvSpPr>
        <xdr:cNvPr id="73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946436</xdr:colOff>
      <xdr:row>4</xdr:row>
      <xdr:rowOff>276226</xdr:rowOff>
    </xdr:to>
    <xdr:sp macro="" textlink="">
      <xdr:nvSpPr>
        <xdr:cNvPr id="739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6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946436</xdr:colOff>
      <xdr:row>4</xdr:row>
      <xdr:rowOff>238126</xdr:rowOff>
    </xdr:to>
    <xdr:sp macro="" textlink="">
      <xdr:nvSpPr>
        <xdr:cNvPr id="739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946436</xdr:colOff>
      <xdr:row>4</xdr:row>
      <xdr:rowOff>238126</xdr:rowOff>
    </xdr:to>
    <xdr:sp macro="" textlink="">
      <xdr:nvSpPr>
        <xdr:cNvPr id="739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1041686</xdr:colOff>
      <xdr:row>4</xdr:row>
      <xdr:rowOff>238126</xdr:rowOff>
    </xdr:to>
    <xdr:sp macro="" textlink="">
      <xdr:nvSpPr>
        <xdr:cNvPr id="73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946436</xdr:colOff>
      <xdr:row>4</xdr:row>
      <xdr:rowOff>276226</xdr:rowOff>
    </xdr:to>
    <xdr:sp macro="" textlink="">
      <xdr:nvSpPr>
        <xdr:cNvPr id="739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6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9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0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4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40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0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0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4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40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0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0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4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41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1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1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4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41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1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1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1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1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2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2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2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2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2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42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42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2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2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42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43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3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3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43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43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3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3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4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43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3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4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4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4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4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4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4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4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5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5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5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5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5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5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4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45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5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6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46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46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6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6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6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6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6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6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6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7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7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7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47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47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7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7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4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47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7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8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4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48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8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4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48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8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8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9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9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9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9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9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9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9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9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50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5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50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50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50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5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50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50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50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5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51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51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51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5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51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51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51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5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51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51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52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52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52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52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52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52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52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5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0</xdr:colOff>
      <xdr:row>4</xdr:row>
      <xdr:rowOff>238126</xdr:rowOff>
    </xdr:to>
    <xdr:sp macro="" textlink="">
      <xdr:nvSpPr>
        <xdr:cNvPr id="75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52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53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5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53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53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53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1041688</xdr:colOff>
      <xdr:row>4</xdr:row>
      <xdr:rowOff>218575</xdr:rowOff>
    </xdr:to>
    <xdr:sp macro="" textlink="">
      <xdr:nvSpPr>
        <xdr:cNvPr id="7535" name="AutoShape 1" hidden="1"/>
        <xdr:cNvSpPr>
          <a:spLocks noChangeAspect="1" noChangeArrowheads="1"/>
        </xdr:cNvSpPr>
      </xdr:nvSpPr>
      <xdr:spPr bwMode="auto">
        <a:xfrm>
          <a:off x="30192453" y="323888"/>
          <a:ext cx="1041688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929121</xdr:colOff>
      <xdr:row>4</xdr:row>
      <xdr:rowOff>295275</xdr:rowOff>
    </xdr:to>
    <xdr:sp macro="" textlink="">
      <xdr:nvSpPr>
        <xdr:cNvPr id="7536" name="AutoShape 1" hidden="1"/>
        <xdr:cNvSpPr>
          <a:spLocks noChangeAspect="1" noChangeArrowheads="1"/>
        </xdr:cNvSpPr>
      </xdr:nvSpPr>
      <xdr:spPr bwMode="auto">
        <a:xfrm>
          <a:off x="30192453" y="327804"/>
          <a:ext cx="92912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108838</xdr:colOff>
      <xdr:row>4</xdr:row>
      <xdr:rowOff>238126</xdr:rowOff>
    </xdr:to>
    <xdr:sp macro="" textlink="">
      <xdr:nvSpPr>
        <xdr:cNvPr id="753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108838</xdr:colOff>
      <xdr:row>4</xdr:row>
      <xdr:rowOff>238126</xdr:rowOff>
    </xdr:to>
    <xdr:sp macro="" textlink="">
      <xdr:nvSpPr>
        <xdr:cNvPr id="753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108838</xdr:colOff>
      <xdr:row>4</xdr:row>
      <xdr:rowOff>238126</xdr:rowOff>
    </xdr:to>
    <xdr:sp macro="" textlink="">
      <xdr:nvSpPr>
        <xdr:cNvPr id="753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108838</xdr:colOff>
      <xdr:row>4</xdr:row>
      <xdr:rowOff>238126</xdr:rowOff>
    </xdr:to>
    <xdr:sp macro="" textlink="">
      <xdr:nvSpPr>
        <xdr:cNvPr id="754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4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4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108836</xdr:colOff>
      <xdr:row>4</xdr:row>
      <xdr:rowOff>238126</xdr:rowOff>
    </xdr:to>
    <xdr:sp macro="" textlink="">
      <xdr:nvSpPr>
        <xdr:cNvPr id="754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108836</xdr:colOff>
      <xdr:row>4</xdr:row>
      <xdr:rowOff>238126</xdr:rowOff>
    </xdr:to>
    <xdr:sp macro="" textlink="">
      <xdr:nvSpPr>
        <xdr:cNvPr id="754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4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4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108838</xdr:colOff>
      <xdr:row>4</xdr:row>
      <xdr:rowOff>238126</xdr:rowOff>
    </xdr:to>
    <xdr:sp macro="" textlink="">
      <xdr:nvSpPr>
        <xdr:cNvPr id="754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108838</xdr:colOff>
      <xdr:row>4</xdr:row>
      <xdr:rowOff>238126</xdr:rowOff>
    </xdr:to>
    <xdr:sp macro="" textlink="">
      <xdr:nvSpPr>
        <xdr:cNvPr id="754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4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5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108836</xdr:colOff>
      <xdr:row>4</xdr:row>
      <xdr:rowOff>238126</xdr:rowOff>
    </xdr:to>
    <xdr:sp macro="" textlink="">
      <xdr:nvSpPr>
        <xdr:cNvPr id="755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108836</xdr:colOff>
      <xdr:row>4</xdr:row>
      <xdr:rowOff>238126</xdr:rowOff>
    </xdr:to>
    <xdr:sp macro="" textlink="">
      <xdr:nvSpPr>
        <xdr:cNvPr id="755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5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5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5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5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5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5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5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6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6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6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6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6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108836</xdr:colOff>
      <xdr:row>4</xdr:row>
      <xdr:rowOff>238126</xdr:rowOff>
    </xdr:to>
    <xdr:sp macro="" textlink="">
      <xdr:nvSpPr>
        <xdr:cNvPr id="756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108836</xdr:colOff>
      <xdr:row>4</xdr:row>
      <xdr:rowOff>238126</xdr:rowOff>
    </xdr:to>
    <xdr:sp macro="" textlink="">
      <xdr:nvSpPr>
        <xdr:cNvPr id="756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6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6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6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7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7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7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7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7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108837</xdr:colOff>
      <xdr:row>4</xdr:row>
      <xdr:rowOff>238126</xdr:rowOff>
    </xdr:to>
    <xdr:sp macro="" textlink="">
      <xdr:nvSpPr>
        <xdr:cNvPr id="757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1365540</xdr:colOff>
      <xdr:row>4</xdr:row>
      <xdr:rowOff>295275</xdr:rowOff>
    </xdr:to>
    <xdr:sp macro="" textlink="">
      <xdr:nvSpPr>
        <xdr:cNvPr id="7625" name="AutoShape 1" hidden="1"/>
        <xdr:cNvSpPr>
          <a:spLocks noChangeAspect="1" noChangeArrowheads="1"/>
        </xdr:cNvSpPr>
      </xdr:nvSpPr>
      <xdr:spPr bwMode="auto">
        <a:xfrm>
          <a:off x="2156604" y="327804"/>
          <a:ext cx="1080868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62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62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6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62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6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6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63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6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6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1142315</xdr:colOff>
      <xdr:row>4</xdr:row>
      <xdr:rowOff>238126</xdr:rowOff>
    </xdr:to>
    <xdr:sp macro="" textlink="">
      <xdr:nvSpPr>
        <xdr:cNvPr id="76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636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1142315</xdr:colOff>
      <xdr:row>4</xdr:row>
      <xdr:rowOff>238126</xdr:rowOff>
    </xdr:to>
    <xdr:sp macro="" textlink="">
      <xdr:nvSpPr>
        <xdr:cNvPr id="76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1142314</xdr:colOff>
      <xdr:row>4</xdr:row>
      <xdr:rowOff>238126</xdr:rowOff>
    </xdr:to>
    <xdr:sp macro="" textlink="">
      <xdr:nvSpPr>
        <xdr:cNvPr id="76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1142314</xdr:colOff>
      <xdr:row>4</xdr:row>
      <xdr:rowOff>238126</xdr:rowOff>
    </xdr:to>
    <xdr:sp macro="" textlink="">
      <xdr:nvSpPr>
        <xdr:cNvPr id="76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64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6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4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1142315</xdr:colOff>
      <xdr:row>4</xdr:row>
      <xdr:rowOff>238126</xdr:rowOff>
    </xdr:to>
    <xdr:sp macro="" textlink="">
      <xdr:nvSpPr>
        <xdr:cNvPr id="764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1142315</xdr:colOff>
      <xdr:row>4</xdr:row>
      <xdr:rowOff>238126</xdr:rowOff>
    </xdr:to>
    <xdr:sp macro="" textlink="">
      <xdr:nvSpPr>
        <xdr:cNvPr id="76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6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64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4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1142314</xdr:colOff>
      <xdr:row>4</xdr:row>
      <xdr:rowOff>238126</xdr:rowOff>
    </xdr:to>
    <xdr:sp macro="" textlink="">
      <xdr:nvSpPr>
        <xdr:cNvPr id="76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1142314</xdr:colOff>
      <xdr:row>4</xdr:row>
      <xdr:rowOff>238126</xdr:rowOff>
    </xdr:to>
    <xdr:sp macro="" textlink="">
      <xdr:nvSpPr>
        <xdr:cNvPr id="765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5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5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1142315</xdr:colOff>
      <xdr:row>4</xdr:row>
      <xdr:rowOff>238126</xdr:rowOff>
    </xdr:to>
    <xdr:sp macro="" textlink="">
      <xdr:nvSpPr>
        <xdr:cNvPr id="765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1142315</xdr:colOff>
      <xdr:row>4</xdr:row>
      <xdr:rowOff>238126</xdr:rowOff>
    </xdr:to>
    <xdr:sp macro="" textlink="">
      <xdr:nvSpPr>
        <xdr:cNvPr id="76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6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65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6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6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1142314</xdr:colOff>
      <xdr:row>4</xdr:row>
      <xdr:rowOff>238126</xdr:rowOff>
    </xdr:to>
    <xdr:sp macro="" textlink="">
      <xdr:nvSpPr>
        <xdr:cNvPr id="76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1142314</xdr:colOff>
      <xdr:row>4</xdr:row>
      <xdr:rowOff>238126</xdr:rowOff>
    </xdr:to>
    <xdr:sp macro="" textlink="">
      <xdr:nvSpPr>
        <xdr:cNvPr id="766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6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6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6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66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67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67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67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1142315</xdr:colOff>
      <xdr:row>4</xdr:row>
      <xdr:rowOff>238126</xdr:rowOff>
    </xdr:to>
    <xdr:sp macro="" textlink="">
      <xdr:nvSpPr>
        <xdr:cNvPr id="767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937779</xdr:colOff>
      <xdr:row>4</xdr:row>
      <xdr:rowOff>218575</xdr:rowOff>
    </xdr:to>
    <xdr:sp macro="" textlink="">
      <xdr:nvSpPr>
        <xdr:cNvPr id="7674" name="AutoShape 1" hidden="1"/>
        <xdr:cNvSpPr>
          <a:spLocks noChangeAspect="1" noChangeArrowheads="1"/>
        </xdr:cNvSpPr>
      </xdr:nvSpPr>
      <xdr:spPr bwMode="auto">
        <a:xfrm>
          <a:off x="30192453" y="323888"/>
          <a:ext cx="937779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1142315</xdr:colOff>
      <xdr:row>4</xdr:row>
      <xdr:rowOff>238126</xdr:rowOff>
    </xdr:to>
    <xdr:sp macro="" textlink="">
      <xdr:nvSpPr>
        <xdr:cNvPr id="767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1142314</xdr:colOff>
      <xdr:row>4</xdr:row>
      <xdr:rowOff>238126</xdr:rowOff>
    </xdr:to>
    <xdr:sp macro="" textlink="">
      <xdr:nvSpPr>
        <xdr:cNvPr id="767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1142314</xdr:colOff>
      <xdr:row>4</xdr:row>
      <xdr:rowOff>238126</xdr:rowOff>
    </xdr:to>
    <xdr:sp macro="" textlink="">
      <xdr:nvSpPr>
        <xdr:cNvPr id="76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6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67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8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1142315</xdr:colOff>
      <xdr:row>4</xdr:row>
      <xdr:rowOff>238126</xdr:rowOff>
    </xdr:to>
    <xdr:sp macro="" textlink="">
      <xdr:nvSpPr>
        <xdr:cNvPr id="76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1142315</xdr:colOff>
      <xdr:row>4</xdr:row>
      <xdr:rowOff>238126</xdr:rowOff>
    </xdr:to>
    <xdr:sp macro="" textlink="">
      <xdr:nvSpPr>
        <xdr:cNvPr id="768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68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6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8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1142314</xdr:colOff>
      <xdr:row>4</xdr:row>
      <xdr:rowOff>238126</xdr:rowOff>
    </xdr:to>
    <xdr:sp macro="" textlink="">
      <xdr:nvSpPr>
        <xdr:cNvPr id="768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1142314</xdr:colOff>
      <xdr:row>4</xdr:row>
      <xdr:rowOff>238126</xdr:rowOff>
    </xdr:to>
    <xdr:sp macro="" textlink="">
      <xdr:nvSpPr>
        <xdr:cNvPr id="76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9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9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1142315</xdr:colOff>
      <xdr:row>4</xdr:row>
      <xdr:rowOff>238126</xdr:rowOff>
    </xdr:to>
    <xdr:sp macro="" textlink="">
      <xdr:nvSpPr>
        <xdr:cNvPr id="76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1142315</xdr:colOff>
      <xdr:row>4</xdr:row>
      <xdr:rowOff>238126</xdr:rowOff>
    </xdr:to>
    <xdr:sp macro="" textlink="">
      <xdr:nvSpPr>
        <xdr:cNvPr id="769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69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6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69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1142314</xdr:colOff>
      <xdr:row>4</xdr:row>
      <xdr:rowOff>238126</xdr:rowOff>
    </xdr:to>
    <xdr:sp macro="" textlink="">
      <xdr:nvSpPr>
        <xdr:cNvPr id="770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1142314</xdr:colOff>
      <xdr:row>4</xdr:row>
      <xdr:rowOff>238126</xdr:rowOff>
    </xdr:to>
    <xdr:sp macro="" textlink="">
      <xdr:nvSpPr>
        <xdr:cNvPr id="77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7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70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70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7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1142315</xdr:colOff>
      <xdr:row>4</xdr:row>
      <xdr:rowOff>238126</xdr:rowOff>
    </xdr:to>
    <xdr:sp macro="" textlink="">
      <xdr:nvSpPr>
        <xdr:cNvPr id="77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1142315</xdr:colOff>
      <xdr:row>4</xdr:row>
      <xdr:rowOff>238126</xdr:rowOff>
    </xdr:to>
    <xdr:sp macro="" textlink="">
      <xdr:nvSpPr>
        <xdr:cNvPr id="770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70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1142317</xdr:colOff>
      <xdr:row>4</xdr:row>
      <xdr:rowOff>238126</xdr:rowOff>
    </xdr:to>
    <xdr:sp macro="" textlink="">
      <xdr:nvSpPr>
        <xdr:cNvPr id="77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1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1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71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71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1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1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71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1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1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719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720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2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2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723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724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2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2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7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728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2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3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7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732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3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7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736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3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3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7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937777</xdr:colOff>
      <xdr:row>4</xdr:row>
      <xdr:rowOff>238126</xdr:rowOff>
    </xdr:to>
    <xdr:sp macro="" textlink="">
      <xdr:nvSpPr>
        <xdr:cNvPr id="774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937777</xdr:colOff>
      <xdr:row>4</xdr:row>
      <xdr:rowOff>238126</xdr:rowOff>
    </xdr:to>
    <xdr:sp macro="" textlink="">
      <xdr:nvSpPr>
        <xdr:cNvPr id="774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1033027</xdr:colOff>
      <xdr:row>4</xdr:row>
      <xdr:rowOff>238126</xdr:rowOff>
    </xdr:to>
    <xdr:sp macro="" textlink="">
      <xdr:nvSpPr>
        <xdr:cNvPr id="77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937777</xdr:colOff>
      <xdr:row>4</xdr:row>
      <xdr:rowOff>276226</xdr:rowOff>
    </xdr:to>
    <xdr:sp macro="" textlink="">
      <xdr:nvSpPr>
        <xdr:cNvPr id="774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937777</xdr:colOff>
      <xdr:row>4</xdr:row>
      <xdr:rowOff>238126</xdr:rowOff>
    </xdr:to>
    <xdr:sp macro="" textlink="">
      <xdr:nvSpPr>
        <xdr:cNvPr id="774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937777</xdr:colOff>
      <xdr:row>4</xdr:row>
      <xdr:rowOff>238126</xdr:rowOff>
    </xdr:to>
    <xdr:sp macro="" textlink="">
      <xdr:nvSpPr>
        <xdr:cNvPr id="774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1033027</xdr:colOff>
      <xdr:row>4</xdr:row>
      <xdr:rowOff>238126</xdr:rowOff>
    </xdr:to>
    <xdr:sp macro="" textlink="">
      <xdr:nvSpPr>
        <xdr:cNvPr id="77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937777</xdr:colOff>
      <xdr:row>4</xdr:row>
      <xdr:rowOff>276226</xdr:rowOff>
    </xdr:to>
    <xdr:sp macro="" textlink="">
      <xdr:nvSpPr>
        <xdr:cNvPr id="774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4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4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7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75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5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5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7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75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5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5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7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75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6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6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7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76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6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6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7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76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6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6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7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77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7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7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7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77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7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7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7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77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8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8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7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78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8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8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7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78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8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8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7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79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9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9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7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79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9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9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7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79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0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0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0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0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0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8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80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0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0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81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81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1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1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1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1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1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1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1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1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82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82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82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82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82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82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82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82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2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2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8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83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3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8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83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3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3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3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4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4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4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4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4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4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4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4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5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5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5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8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85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5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5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8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85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6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6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6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6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6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6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86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86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8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87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87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87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8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87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87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1142316</xdr:colOff>
      <xdr:row>4</xdr:row>
      <xdr:rowOff>238126</xdr:rowOff>
    </xdr:to>
    <xdr:sp macro="" textlink="">
      <xdr:nvSpPr>
        <xdr:cNvPr id="7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7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7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88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88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8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8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1033029</xdr:colOff>
      <xdr:row>4</xdr:row>
      <xdr:rowOff>218575</xdr:rowOff>
    </xdr:to>
    <xdr:sp macro="" textlink="">
      <xdr:nvSpPr>
        <xdr:cNvPr id="7884" name="AutoShape 1" hidden="1"/>
        <xdr:cNvSpPr>
          <a:spLocks noChangeAspect="1" noChangeArrowheads="1"/>
        </xdr:cNvSpPr>
      </xdr:nvSpPr>
      <xdr:spPr bwMode="auto">
        <a:xfrm>
          <a:off x="30192453" y="323888"/>
          <a:ext cx="1033029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1434814</xdr:colOff>
      <xdr:row>4</xdr:row>
      <xdr:rowOff>295275</xdr:rowOff>
    </xdr:to>
    <xdr:sp macro="" textlink="">
      <xdr:nvSpPr>
        <xdr:cNvPr id="7885" name="AutoShape 1" hidden="1"/>
        <xdr:cNvSpPr>
          <a:spLocks noChangeAspect="1" noChangeArrowheads="1"/>
        </xdr:cNvSpPr>
      </xdr:nvSpPr>
      <xdr:spPr bwMode="auto">
        <a:xfrm>
          <a:off x="2156604" y="327804"/>
          <a:ext cx="108113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7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2101646</xdr:colOff>
      <xdr:row>4</xdr:row>
      <xdr:rowOff>238126</xdr:rowOff>
    </xdr:to>
    <xdr:sp macro="" textlink="">
      <xdr:nvSpPr>
        <xdr:cNvPr id="7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2101646</xdr:colOff>
      <xdr:row>4</xdr:row>
      <xdr:rowOff>238126</xdr:rowOff>
    </xdr:to>
    <xdr:sp macro="" textlink="">
      <xdr:nvSpPr>
        <xdr:cNvPr id="7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78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7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7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1076327</xdr:colOff>
      <xdr:row>4</xdr:row>
      <xdr:rowOff>238126</xdr:rowOff>
    </xdr:to>
    <xdr:sp macro="" textlink="">
      <xdr:nvSpPr>
        <xdr:cNvPr id="7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1076327</xdr:colOff>
      <xdr:row>4</xdr:row>
      <xdr:rowOff>238126</xdr:rowOff>
    </xdr:to>
    <xdr:sp macro="" textlink="">
      <xdr:nvSpPr>
        <xdr:cNvPr id="7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1171577</xdr:colOff>
      <xdr:row>4</xdr:row>
      <xdr:rowOff>238126</xdr:rowOff>
    </xdr:to>
    <xdr:sp macro="" textlink="">
      <xdr:nvSpPr>
        <xdr:cNvPr id="7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1076327</xdr:colOff>
      <xdr:row>4</xdr:row>
      <xdr:rowOff>276226</xdr:rowOff>
    </xdr:to>
    <xdr:sp macro="" textlink="">
      <xdr:nvSpPr>
        <xdr:cNvPr id="79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3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7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79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370889</xdr:colOff>
      <xdr:row>4</xdr:row>
      <xdr:rowOff>238126</xdr:rowOff>
    </xdr:to>
    <xdr:sp macro="" textlink="">
      <xdr:nvSpPr>
        <xdr:cNvPr id="7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32843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7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29</xdr:col>
      <xdr:colOff>275639</xdr:colOff>
      <xdr:row>4</xdr:row>
      <xdr:rowOff>276226</xdr:rowOff>
    </xdr:to>
    <xdr:sp macro="" textlink="">
      <xdr:nvSpPr>
        <xdr:cNvPr id="7932" name="AutoShape 1" hidden="1"/>
        <xdr:cNvSpPr>
          <a:spLocks noChangeAspect="1" noChangeArrowheads="1"/>
        </xdr:cNvSpPr>
      </xdr:nvSpPr>
      <xdr:spPr bwMode="auto">
        <a:xfrm>
          <a:off x="4313208" y="329781"/>
          <a:ext cx="272331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7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7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7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7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7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79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7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7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79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0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8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0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8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1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1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2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4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4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4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2000250</xdr:colOff>
      <xdr:row>15</xdr:row>
      <xdr:rowOff>300106</xdr:rowOff>
    </xdr:to>
    <xdr:sp macro="" textlink="">
      <xdr:nvSpPr>
        <xdr:cNvPr id="874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7224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7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8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8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2007268</xdr:colOff>
      <xdr:row>4</xdr:row>
      <xdr:rowOff>276226</xdr:rowOff>
    </xdr:to>
    <xdr:sp macro="" textlink="">
      <xdr:nvSpPr>
        <xdr:cNvPr id="89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2007268</xdr:colOff>
      <xdr:row>4</xdr:row>
      <xdr:rowOff>276226</xdr:rowOff>
    </xdr:to>
    <xdr:sp macro="" textlink="">
      <xdr:nvSpPr>
        <xdr:cNvPr id="89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71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2007268</xdr:colOff>
      <xdr:row>4</xdr:row>
      <xdr:rowOff>276226</xdr:rowOff>
    </xdr:to>
    <xdr:sp macro="" textlink="">
      <xdr:nvSpPr>
        <xdr:cNvPr id="8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204355</xdr:rowOff>
    </xdr:from>
    <xdr:to>
      <xdr:col>2</xdr:col>
      <xdr:colOff>2007268</xdr:colOff>
      <xdr:row>4</xdr:row>
      <xdr:rowOff>185306</xdr:rowOff>
    </xdr:to>
    <xdr:sp macro="" textlink="">
      <xdr:nvSpPr>
        <xdr:cNvPr id="8981" name="AutoShape 1" hidden="1"/>
        <xdr:cNvSpPr>
          <a:spLocks noChangeAspect="1" noChangeArrowheads="1"/>
        </xdr:cNvSpPr>
      </xdr:nvSpPr>
      <xdr:spPr bwMode="auto">
        <a:xfrm>
          <a:off x="2156604" y="325125"/>
          <a:ext cx="1075615" cy="49853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87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2170234</xdr:colOff>
      <xdr:row>4</xdr:row>
      <xdr:rowOff>219076</xdr:rowOff>
    </xdr:to>
    <xdr:sp macro="" textlink="">
      <xdr:nvSpPr>
        <xdr:cNvPr id="9073" name="AutoShape 1" hidden="1"/>
        <xdr:cNvSpPr>
          <a:spLocks noChangeAspect="1" noChangeArrowheads="1"/>
        </xdr:cNvSpPr>
      </xdr:nvSpPr>
      <xdr:spPr bwMode="auto">
        <a:xfrm>
          <a:off x="2156604" y="324389"/>
          <a:ext cx="1074679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2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2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3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4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4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4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4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2076450</xdr:colOff>
      <xdr:row>4</xdr:row>
      <xdr:rowOff>228601</xdr:rowOff>
    </xdr:to>
    <xdr:sp macro="" textlink="">
      <xdr:nvSpPr>
        <xdr:cNvPr id="9664" name="AutoShape 1" hidden="1"/>
        <xdr:cNvSpPr>
          <a:spLocks noChangeAspect="1" noChangeArrowheads="1"/>
        </xdr:cNvSpPr>
      </xdr:nvSpPr>
      <xdr:spPr bwMode="auto">
        <a:xfrm>
          <a:off x="2156604" y="325288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5195</xdr:rowOff>
    </xdr:from>
    <xdr:to>
      <xdr:col>2</xdr:col>
      <xdr:colOff>2076450</xdr:colOff>
      <xdr:row>4</xdr:row>
      <xdr:rowOff>303934</xdr:rowOff>
    </xdr:to>
    <xdr:sp macro="" textlink="">
      <xdr:nvSpPr>
        <xdr:cNvPr id="9700" name="AutoShape 1" hidden="1"/>
        <xdr:cNvSpPr>
          <a:spLocks noChangeAspect="1" noChangeArrowheads="1"/>
        </xdr:cNvSpPr>
      </xdr:nvSpPr>
      <xdr:spPr bwMode="auto">
        <a:xfrm>
          <a:off x="2156604" y="332999"/>
          <a:ext cx="1075786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7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70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70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70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7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7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0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7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7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74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4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880630</xdr:colOff>
      <xdr:row>4</xdr:row>
      <xdr:rowOff>218575</xdr:rowOff>
    </xdr:to>
    <xdr:sp macro="" textlink="">
      <xdr:nvSpPr>
        <xdr:cNvPr id="9749" name="AutoShape 1" hidden="1"/>
        <xdr:cNvSpPr>
          <a:spLocks noChangeAspect="1" noChangeArrowheads="1"/>
        </xdr:cNvSpPr>
      </xdr:nvSpPr>
      <xdr:spPr bwMode="auto">
        <a:xfrm>
          <a:off x="28035849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7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78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8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78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7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79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9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7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7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794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7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7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7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798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7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02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80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0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06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80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0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10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8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1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14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981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98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972415</xdr:colOff>
      <xdr:row>4</xdr:row>
      <xdr:rowOff>238126</xdr:rowOff>
    </xdr:to>
    <xdr:sp macro="" textlink="">
      <xdr:nvSpPr>
        <xdr:cNvPr id="981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981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981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98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972415</xdr:colOff>
      <xdr:row>4</xdr:row>
      <xdr:rowOff>238126</xdr:rowOff>
    </xdr:to>
    <xdr:sp macro="" textlink="">
      <xdr:nvSpPr>
        <xdr:cNvPr id="982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982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2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2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82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2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2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83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3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3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83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3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83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4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84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4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4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84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4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4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85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5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5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5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85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5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5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85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5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6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6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86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6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6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86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6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6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87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7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7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87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7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7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87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7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8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88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8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8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88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8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8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89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9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9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89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9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9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89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9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9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90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90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0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0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90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0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91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1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1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91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1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1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91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1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2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92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2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2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92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2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2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93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3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3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93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3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93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4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94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94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9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94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94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94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9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94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95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5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5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95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5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972417</xdr:colOff>
      <xdr:row>4</xdr:row>
      <xdr:rowOff>218575</xdr:rowOff>
    </xdr:to>
    <xdr:sp macro="" textlink="">
      <xdr:nvSpPr>
        <xdr:cNvPr id="9959" name="AutoShape 1" hidden="1"/>
        <xdr:cNvSpPr>
          <a:spLocks noChangeAspect="1" noChangeArrowheads="1"/>
        </xdr:cNvSpPr>
      </xdr:nvSpPr>
      <xdr:spPr bwMode="auto">
        <a:xfrm>
          <a:off x="2156604" y="323888"/>
          <a:ext cx="972417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9960" name="AutoShape 1" hidden="1"/>
        <xdr:cNvSpPr>
          <a:spLocks noChangeAspect="1" noChangeArrowheads="1"/>
        </xdr:cNvSpPr>
      </xdr:nvSpPr>
      <xdr:spPr bwMode="auto">
        <a:xfrm>
          <a:off x="28035849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10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0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1545734</xdr:colOff>
      <xdr:row>4</xdr:row>
      <xdr:rowOff>238126</xdr:rowOff>
    </xdr:to>
    <xdr:sp macro="" textlink="">
      <xdr:nvSpPr>
        <xdr:cNvPr id="10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9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1545734</xdr:colOff>
      <xdr:row>4</xdr:row>
      <xdr:rowOff>238126</xdr:rowOff>
    </xdr:to>
    <xdr:sp macro="" textlink="">
      <xdr:nvSpPr>
        <xdr:cNvPr id="10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9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00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00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00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00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00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00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003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003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00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00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0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1815766</xdr:colOff>
      <xdr:row>4</xdr:row>
      <xdr:rowOff>238126</xdr:rowOff>
    </xdr:to>
    <xdr:sp macro="" textlink="">
      <xdr:nvSpPr>
        <xdr:cNvPr id="10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0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1815766</xdr:colOff>
      <xdr:row>4</xdr:row>
      <xdr:rowOff>276226</xdr:rowOff>
    </xdr:to>
    <xdr:sp macro="" textlink="">
      <xdr:nvSpPr>
        <xdr:cNvPr id="10046" name="AutoShape 1" hidden="1"/>
        <xdr:cNvSpPr>
          <a:spLocks noChangeAspect="1" noChangeArrowheads="1"/>
        </xdr:cNvSpPr>
      </xdr:nvSpPr>
      <xdr:spPr bwMode="auto">
        <a:xfrm>
          <a:off x="2156604" y="329781"/>
          <a:ext cx="10825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0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0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00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00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0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00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0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012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1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012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01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01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2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2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02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2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025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3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30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3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3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03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039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04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04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4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4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48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05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0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5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5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6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6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0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1535075</xdr:colOff>
      <xdr:row>4</xdr:row>
      <xdr:rowOff>238126</xdr:rowOff>
    </xdr:to>
    <xdr:sp macro="" textlink="">
      <xdr:nvSpPr>
        <xdr:cNvPr id="10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1535075</xdr:colOff>
      <xdr:row>4</xdr:row>
      <xdr:rowOff>238126</xdr:rowOff>
    </xdr:to>
    <xdr:sp macro="" textlink="">
      <xdr:nvSpPr>
        <xdr:cNvPr id="10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0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06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065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06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065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06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06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065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06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6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6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1819276</xdr:colOff>
      <xdr:row>4</xdr:row>
      <xdr:rowOff>238126</xdr:rowOff>
    </xdr:to>
    <xdr:sp macro="" textlink="">
      <xdr:nvSpPr>
        <xdr:cNvPr id="10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0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1819276</xdr:colOff>
      <xdr:row>4</xdr:row>
      <xdr:rowOff>276226</xdr:rowOff>
    </xdr:to>
    <xdr:sp macro="" textlink="">
      <xdr:nvSpPr>
        <xdr:cNvPr id="10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0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0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0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0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06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06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0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7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0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7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0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074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0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07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0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78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0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7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0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08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08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083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87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8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88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092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9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09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0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96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09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9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10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10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10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0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10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11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1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11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114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11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11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1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11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1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12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2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12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2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3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3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4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4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1432214</xdr:colOff>
      <xdr:row>15</xdr:row>
      <xdr:rowOff>300106</xdr:rowOff>
    </xdr:to>
    <xdr:sp macro="" textlink="">
      <xdr:nvSpPr>
        <xdr:cNvPr id="1149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8531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5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7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1762080</xdr:colOff>
      <xdr:row>4</xdr:row>
      <xdr:rowOff>238126</xdr:rowOff>
    </xdr:to>
    <xdr:sp macro="" textlink="">
      <xdr:nvSpPr>
        <xdr:cNvPr id="11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1666830</xdr:colOff>
      <xdr:row>4</xdr:row>
      <xdr:rowOff>276226</xdr:rowOff>
    </xdr:to>
    <xdr:sp macro="" textlink="">
      <xdr:nvSpPr>
        <xdr:cNvPr id="11770" name="AutoShape 1" hidden="1"/>
        <xdr:cNvSpPr>
          <a:spLocks noChangeAspect="1" noChangeArrowheads="1"/>
        </xdr:cNvSpPr>
      </xdr:nvSpPr>
      <xdr:spPr bwMode="auto">
        <a:xfrm>
          <a:off x="2156604" y="329781"/>
          <a:ext cx="10802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17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17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17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17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17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17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837334</xdr:colOff>
      <xdr:row>4</xdr:row>
      <xdr:rowOff>218575</xdr:rowOff>
    </xdr:to>
    <xdr:sp macro="" textlink="">
      <xdr:nvSpPr>
        <xdr:cNvPr id="11785" name="AutoShape 1" hidden="1"/>
        <xdr:cNvSpPr>
          <a:spLocks noChangeAspect="1" noChangeArrowheads="1"/>
        </xdr:cNvSpPr>
      </xdr:nvSpPr>
      <xdr:spPr bwMode="auto">
        <a:xfrm>
          <a:off x="28035849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17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1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179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1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17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2019254</xdr:colOff>
      <xdr:row>4</xdr:row>
      <xdr:rowOff>238126</xdr:rowOff>
    </xdr:to>
    <xdr:sp macro="" textlink="">
      <xdr:nvSpPr>
        <xdr:cNvPr id="11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9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1666830</xdr:colOff>
      <xdr:row>4</xdr:row>
      <xdr:rowOff>238126</xdr:rowOff>
    </xdr:to>
    <xdr:sp macro="" textlink="">
      <xdr:nvSpPr>
        <xdr:cNvPr id="11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1924004</xdr:colOff>
      <xdr:row>4</xdr:row>
      <xdr:rowOff>276226</xdr:rowOff>
    </xdr:to>
    <xdr:sp macro="" textlink="">
      <xdr:nvSpPr>
        <xdr:cNvPr id="11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1666830</xdr:colOff>
      <xdr:row>4</xdr:row>
      <xdr:rowOff>238126</xdr:rowOff>
    </xdr:to>
    <xdr:sp macro="" textlink="">
      <xdr:nvSpPr>
        <xdr:cNvPr id="11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1762080</xdr:colOff>
      <xdr:row>4</xdr:row>
      <xdr:rowOff>238126</xdr:rowOff>
    </xdr:to>
    <xdr:sp macro="" textlink="">
      <xdr:nvSpPr>
        <xdr:cNvPr id="11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1666830</xdr:colOff>
      <xdr:row>4</xdr:row>
      <xdr:rowOff>276226</xdr:rowOff>
    </xdr:to>
    <xdr:sp macro="" textlink="">
      <xdr:nvSpPr>
        <xdr:cNvPr id="11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2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1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18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1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18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18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184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18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8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18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19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9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19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19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9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19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1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19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19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19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0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0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21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21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21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1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21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2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2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2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22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22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3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3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3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1781130</xdr:colOff>
      <xdr:row>4</xdr:row>
      <xdr:rowOff>238126</xdr:rowOff>
    </xdr:to>
    <xdr:sp macro="" textlink="">
      <xdr:nvSpPr>
        <xdr:cNvPr id="12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1743030</xdr:colOff>
      <xdr:row>4</xdr:row>
      <xdr:rowOff>276226</xdr:rowOff>
    </xdr:to>
    <xdr:sp macro="" textlink="">
      <xdr:nvSpPr>
        <xdr:cNvPr id="12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79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1743030</xdr:colOff>
      <xdr:row>4</xdr:row>
      <xdr:rowOff>238126</xdr:rowOff>
    </xdr:to>
    <xdr:sp macro="" textlink="">
      <xdr:nvSpPr>
        <xdr:cNvPr id="12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1743030</xdr:colOff>
      <xdr:row>4</xdr:row>
      <xdr:rowOff>238126</xdr:rowOff>
    </xdr:to>
    <xdr:sp macro="" textlink="">
      <xdr:nvSpPr>
        <xdr:cNvPr id="12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1781130</xdr:colOff>
      <xdr:row>4</xdr:row>
      <xdr:rowOff>238126</xdr:rowOff>
    </xdr:to>
    <xdr:sp macro="" textlink="">
      <xdr:nvSpPr>
        <xdr:cNvPr id="12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1743030</xdr:colOff>
      <xdr:row>4</xdr:row>
      <xdr:rowOff>276226</xdr:rowOff>
    </xdr:to>
    <xdr:sp macro="" textlink="">
      <xdr:nvSpPr>
        <xdr:cNvPr id="12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79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3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3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24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4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240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245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24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5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45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45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5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4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46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46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4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46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4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46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4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46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7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4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47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7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7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4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47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4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47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4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48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4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48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4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124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1248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124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1248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124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1249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124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1249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9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4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49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9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4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50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50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50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5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5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5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5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5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52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5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52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2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52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53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3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3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3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3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4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4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4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4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4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5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55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5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55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5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6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6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6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5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5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5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56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56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5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5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57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7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7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7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57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7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7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58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8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8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8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9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9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9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9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9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60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6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6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6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60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6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6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6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60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6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6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6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6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6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6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6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6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6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6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6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6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1608176</xdr:colOff>
      <xdr:row>4</xdr:row>
      <xdr:rowOff>238126</xdr:rowOff>
    </xdr:to>
    <xdr:sp macro="" textlink="">
      <xdr:nvSpPr>
        <xdr:cNvPr id="12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6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6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1513792</xdr:colOff>
      <xdr:row>4</xdr:row>
      <xdr:rowOff>295275</xdr:rowOff>
    </xdr:to>
    <xdr:sp macro="" textlink="">
      <xdr:nvSpPr>
        <xdr:cNvPr id="12664" name="AutoShape 1" hidden="1"/>
        <xdr:cNvSpPr>
          <a:spLocks noChangeAspect="1" noChangeArrowheads="1"/>
        </xdr:cNvSpPr>
      </xdr:nvSpPr>
      <xdr:spPr bwMode="auto">
        <a:xfrm>
          <a:off x="2156604" y="327804"/>
          <a:ext cx="108247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6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6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66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6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66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6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67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904009</xdr:colOff>
      <xdr:row>4</xdr:row>
      <xdr:rowOff>218575</xdr:rowOff>
    </xdr:to>
    <xdr:sp macro="" textlink="">
      <xdr:nvSpPr>
        <xdr:cNvPr id="12672" name="AutoShape 1" hidden="1"/>
        <xdr:cNvSpPr>
          <a:spLocks noChangeAspect="1" noChangeArrowheads="1"/>
        </xdr:cNvSpPr>
      </xdr:nvSpPr>
      <xdr:spPr bwMode="auto">
        <a:xfrm>
          <a:off x="28035849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12673" name="AutoShape 1" hidden="1"/>
        <xdr:cNvSpPr>
          <a:spLocks noChangeAspect="1" noChangeArrowheads="1"/>
        </xdr:cNvSpPr>
      </xdr:nvSpPr>
      <xdr:spPr bwMode="auto">
        <a:xfrm>
          <a:off x="28035849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1603663</xdr:colOff>
      <xdr:row>4</xdr:row>
      <xdr:rowOff>219076</xdr:rowOff>
    </xdr:to>
    <xdr:sp macro="" textlink="">
      <xdr:nvSpPr>
        <xdr:cNvPr id="12747" name="AutoShape 1" hidden="1"/>
        <xdr:cNvSpPr>
          <a:spLocks noChangeAspect="1" noChangeArrowheads="1"/>
        </xdr:cNvSpPr>
      </xdr:nvSpPr>
      <xdr:spPr bwMode="auto">
        <a:xfrm>
          <a:off x="2156604" y="324389"/>
          <a:ext cx="1077452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279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27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2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28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2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28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28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28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2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29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29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29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2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29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2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29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30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0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30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30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30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31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3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31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31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1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1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1508414</xdr:colOff>
      <xdr:row>4</xdr:row>
      <xdr:rowOff>228601</xdr:rowOff>
    </xdr:to>
    <xdr:sp macro="" textlink="">
      <xdr:nvSpPr>
        <xdr:cNvPr id="13338" name="AutoShape 1" hidden="1"/>
        <xdr:cNvSpPr>
          <a:spLocks noChangeAspect="1" noChangeArrowheads="1"/>
        </xdr:cNvSpPr>
      </xdr:nvSpPr>
      <xdr:spPr bwMode="auto">
        <a:xfrm>
          <a:off x="2156604" y="325288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1053813</xdr:colOff>
      <xdr:row>4</xdr:row>
      <xdr:rowOff>295275</xdr:rowOff>
    </xdr:to>
    <xdr:sp macro="" textlink="">
      <xdr:nvSpPr>
        <xdr:cNvPr id="13375" name="AutoShape 1" hidden="1"/>
        <xdr:cNvSpPr>
          <a:spLocks noChangeAspect="1" noChangeArrowheads="1"/>
        </xdr:cNvSpPr>
      </xdr:nvSpPr>
      <xdr:spPr bwMode="auto">
        <a:xfrm>
          <a:off x="2156604" y="327804"/>
          <a:ext cx="105381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1123087</xdr:colOff>
      <xdr:row>4</xdr:row>
      <xdr:rowOff>295275</xdr:rowOff>
    </xdr:to>
    <xdr:sp macro="" textlink="">
      <xdr:nvSpPr>
        <xdr:cNvPr id="13376" name="AutoShape 1" hidden="1"/>
        <xdr:cNvSpPr>
          <a:spLocks noChangeAspect="1" noChangeArrowheads="1"/>
        </xdr:cNvSpPr>
      </xdr:nvSpPr>
      <xdr:spPr bwMode="auto">
        <a:xfrm>
          <a:off x="2156604" y="327804"/>
          <a:ext cx="1079955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3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3002106</xdr:colOff>
      <xdr:row>4</xdr:row>
      <xdr:rowOff>218575</xdr:rowOff>
    </xdr:to>
    <xdr:sp macro="" textlink="">
      <xdr:nvSpPr>
        <xdr:cNvPr id="1342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416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4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3097354</xdr:colOff>
      <xdr:row>4</xdr:row>
      <xdr:rowOff>238126</xdr:rowOff>
    </xdr:to>
    <xdr:sp macro="" textlink="">
      <xdr:nvSpPr>
        <xdr:cNvPr id="13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3002104</xdr:colOff>
      <xdr:row>4</xdr:row>
      <xdr:rowOff>276226</xdr:rowOff>
    </xdr:to>
    <xdr:sp macro="" textlink="">
      <xdr:nvSpPr>
        <xdr:cNvPr id="13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3097354</xdr:colOff>
      <xdr:row>4</xdr:row>
      <xdr:rowOff>238126</xdr:rowOff>
    </xdr:to>
    <xdr:sp macro="" textlink="">
      <xdr:nvSpPr>
        <xdr:cNvPr id="13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3002104</xdr:colOff>
      <xdr:row>4</xdr:row>
      <xdr:rowOff>276226</xdr:rowOff>
    </xdr:to>
    <xdr:sp macro="" textlink="">
      <xdr:nvSpPr>
        <xdr:cNvPr id="13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6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6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6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6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6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3097356</xdr:colOff>
      <xdr:row>4</xdr:row>
      <xdr:rowOff>218575</xdr:rowOff>
    </xdr:to>
    <xdr:sp macro="" textlink="">
      <xdr:nvSpPr>
        <xdr:cNvPr id="1363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775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2984789</xdr:colOff>
      <xdr:row>4</xdr:row>
      <xdr:rowOff>295275</xdr:rowOff>
    </xdr:to>
    <xdr:sp macro="" textlink="">
      <xdr:nvSpPr>
        <xdr:cNvPr id="13636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5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1041104</xdr:colOff>
      <xdr:row>4</xdr:row>
      <xdr:rowOff>238126</xdr:rowOff>
    </xdr:to>
    <xdr:sp macro="" textlink="">
      <xdr:nvSpPr>
        <xdr:cNvPr id="1363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1041104</xdr:colOff>
      <xdr:row>4</xdr:row>
      <xdr:rowOff>238126</xdr:rowOff>
    </xdr:to>
    <xdr:sp macro="" textlink="">
      <xdr:nvSpPr>
        <xdr:cNvPr id="1363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1041104</xdr:colOff>
      <xdr:row>4</xdr:row>
      <xdr:rowOff>238126</xdr:rowOff>
    </xdr:to>
    <xdr:sp macro="" textlink="">
      <xdr:nvSpPr>
        <xdr:cNvPr id="1363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1041104</xdr:colOff>
      <xdr:row>4</xdr:row>
      <xdr:rowOff>238126</xdr:rowOff>
    </xdr:to>
    <xdr:sp macro="" textlink="">
      <xdr:nvSpPr>
        <xdr:cNvPr id="1364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4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4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1041102</xdr:colOff>
      <xdr:row>4</xdr:row>
      <xdr:rowOff>238126</xdr:rowOff>
    </xdr:to>
    <xdr:sp macro="" textlink="">
      <xdr:nvSpPr>
        <xdr:cNvPr id="1364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1041102</xdr:colOff>
      <xdr:row>4</xdr:row>
      <xdr:rowOff>238126</xdr:rowOff>
    </xdr:to>
    <xdr:sp macro="" textlink="">
      <xdr:nvSpPr>
        <xdr:cNvPr id="1364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4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4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1041104</xdr:colOff>
      <xdr:row>4</xdr:row>
      <xdr:rowOff>238126</xdr:rowOff>
    </xdr:to>
    <xdr:sp macro="" textlink="">
      <xdr:nvSpPr>
        <xdr:cNvPr id="1364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1041104</xdr:colOff>
      <xdr:row>4</xdr:row>
      <xdr:rowOff>238126</xdr:rowOff>
    </xdr:to>
    <xdr:sp macro="" textlink="">
      <xdr:nvSpPr>
        <xdr:cNvPr id="1364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4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5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1041102</xdr:colOff>
      <xdr:row>4</xdr:row>
      <xdr:rowOff>238126</xdr:rowOff>
    </xdr:to>
    <xdr:sp macro="" textlink="">
      <xdr:nvSpPr>
        <xdr:cNvPr id="1365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1041102</xdr:colOff>
      <xdr:row>4</xdr:row>
      <xdr:rowOff>238126</xdr:rowOff>
    </xdr:to>
    <xdr:sp macro="" textlink="">
      <xdr:nvSpPr>
        <xdr:cNvPr id="1365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5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5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5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5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5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5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5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6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6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6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6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6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1041102</xdr:colOff>
      <xdr:row>4</xdr:row>
      <xdr:rowOff>238126</xdr:rowOff>
    </xdr:to>
    <xdr:sp macro="" textlink="">
      <xdr:nvSpPr>
        <xdr:cNvPr id="1366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1041102</xdr:colOff>
      <xdr:row>4</xdr:row>
      <xdr:rowOff>238126</xdr:rowOff>
    </xdr:to>
    <xdr:sp macro="" textlink="">
      <xdr:nvSpPr>
        <xdr:cNvPr id="1366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6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6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6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7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7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7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7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7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7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30</xdr:col>
      <xdr:colOff>1041103</xdr:colOff>
      <xdr:row>4</xdr:row>
      <xdr:rowOff>238126</xdr:rowOff>
    </xdr:to>
    <xdr:sp macro="" textlink="">
      <xdr:nvSpPr>
        <xdr:cNvPr id="1367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2993447</xdr:colOff>
      <xdr:row>4</xdr:row>
      <xdr:rowOff>218575</xdr:rowOff>
    </xdr:to>
    <xdr:sp macro="" textlink="">
      <xdr:nvSpPr>
        <xdr:cNvPr id="1372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383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7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3088695</xdr:colOff>
      <xdr:row>4</xdr:row>
      <xdr:rowOff>238126</xdr:rowOff>
    </xdr:to>
    <xdr:sp macro="" textlink="">
      <xdr:nvSpPr>
        <xdr:cNvPr id="13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2993445</xdr:colOff>
      <xdr:row>4</xdr:row>
      <xdr:rowOff>276226</xdr:rowOff>
    </xdr:to>
    <xdr:sp macro="" textlink="">
      <xdr:nvSpPr>
        <xdr:cNvPr id="13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3088695</xdr:colOff>
      <xdr:row>4</xdr:row>
      <xdr:rowOff>238126</xdr:rowOff>
    </xdr:to>
    <xdr:sp macro="" textlink="">
      <xdr:nvSpPr>
        <xdr:cNvPr id="13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2993445</xdr:colOff>
      <xdr:row>4</xdr:row>
      <xdr:rowOff>276226</xdr:rowOff>
    </xdr:to>
    <xdr:sp macro="" textlink="">
      <xdr:nvSpPr>
        <xdr:cNvPr id="13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9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9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9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9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9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9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9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9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3088697</xdr:colOff>
      <xdr:row>4</xdr:row>
      <xdr:rowOff>218575</xdr:rowOff>
    </xdr:to>
    <xdr:sp macro="" textlink="">
      <xdr:nvSpPr>
        <xdr:cNvPr id="1393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742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3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1938589</xdr:colOff>
      <xdr:row>4</xdr:row>
      <xdr:rowOff>238126</xdr:rowOff>
    </xdr:to>
    <xdr:sp macro="" textlink="">
      <xdr:nvSpPr>
        <xdr:cNvPr id="13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1938589</xdr:colOff>
      <xdr:row>4</xdr:row>
      <xdr:rowOff>238126</xdr:rowOff>
    </xdr:to>
    <xdr:sp macro="" textlink="">
      <xdr:nvSpPr>
        <xdr:cNvPr id="13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3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3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3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3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39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1396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13966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1067668</xdr:colOff>
      <xdr:row>4</xdr:row>
      <xdr:rowOff>238126</xdr:rowOff>
    </xdr:to>
    <xdr:sp macro="" textlink="">
      <xdr:nvSpPr>
        <xdr:cNvPr id="13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6766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972418</xdr:colOff>
      <xdr:row>4</xdr:row>
      <xdr:rowOff>276226</xdr:rowOff>
    </xdr:to>
    <xdr:sp macro="" textlink="">
      <xdr:nvSpPr>
        <xdr:cNvPr id="13969" name="AutoShape 1" hidden="1"/>
        <xdr:cNvSpPr>
          <a:spLocks noChangeAspect="1" noChangeArrowheads="1"/>
        </xdr:cNvSpPr>
      </xdr:nvSpPr>
      <xdr:spPr bwMode="auto">
        <a:xfrm>
          <a:off x="2156604" y="329781"/>
          <a:ext cx="97241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3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3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39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3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29</xdr:col>
      <xdr:colOff>206367</xdr:colOff>
      <xdr:row>4</xdr:row>
      <xdr:rowOff>238126</xdr:rowOff>
    </xdr:to>
    <xdr:sp macro="" textlink="">
      <xdr:nvSpPr>
        <xdr:cNvPr id="13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1639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3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2354675</xdr:colOff>
      <xdr:row>4</xdr:row>
      <xdr:rowOff>276226</xdr:rowOff>
    </xdr:to>
    <xdr:sp macro="" textlink="">
      <xdr:nvSpPr>
        <xdr:cNvPr id="139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6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3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3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39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3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3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3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0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0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1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4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1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4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1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2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2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3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4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6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6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1896341</xdr:colOff>
      <xdr:row>15</xdr:row>
      <xdr:rowOff>300106</xdr:rowOff>
    </xdr:to>
    <xdr:sp macro="" textlink="">
      <xdr:nvSpPr>
        <xdr:cNvPr id="1479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6832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8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8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8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8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8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8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8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1903359</xdr:colOff>
      <xdr:row>4</xdr:row>
      <xdr:rowOff>276226</xdr:rowOff>
    </xdr:to>
    <xdr:sp macro="" textlink="">
      <xdr:nvSpPr>
        <xdr:cNvPr id="15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1903359</xdr:colOff>
      <xdr:row>4</xdr:row>
      <xdr:rowOff>276226</xdr:rowOff>
    </xdr:to>
    <xdr:sp macro="" textlink="">
      <xdr:nvSpPr>
        <xdr:cNvPr id="15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1903359</xdr:colOff>
      <xdr:row>4</xdr:row>
      <xdr:rowOff>276226</xdr:rowOff>
    </xdr:to>
    <xdr:sp macro="" textlink="">
      <xdr:nvSpPr>
        <xdr:cNvPr id="150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204355</xdr:rowOff>
    </xdr:from>
    <xdr:to>
      <xdr:col>2</xdr:col>
      <xdr:colOff>1903359</xdr:colOff>
      <xdr:row>4</xdr:row>
      <xdr:rowOff>185306</xdr:rowOff>
    </xdr:to>
    <xdr:sp macro="" textlink="">
      <xdr:nvSpPr>
        <xdr:cNvPr id="15031" name="AutoShape 1" hidden="1"/>
        <xdr:cNvSpPr>
          <a:spLocks noChangeAspect="1" noChangeArrowheads="1"/>
        </xdr:cNvSpPr>
      </xdr:nvSpPr>
      <xdr:spPr bwMode="auto">
        <a:xfrm>
          <a:off x="2156604" y="325125"/>
          <a:ext cx="1075223" cy="49853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2007177</xdr:colOff>
      <xdr:row>4</xdr:row>
      <xdr:rowOff>219076</xdr:rowOff>
    </xdr:to>
    <xdr:sp macro="" textlink="">
      <xdr:nvSpPr>
        <xdr:cNvPr id="15123" name="AutoShape 1" hidden="1"/>
        <xdr:cNvSpPr>
          <a:spLocks noChangeAspect="1" noChangeArrowheads="1"/>
        </xdr:cNvSpPr>
      </xdr:nvSpPr>
      <xdr:spPr bwMode="auto">
        <a:xfrm>
          <a:off x="2156604" y="324389"/>
          <a:ext cx="1075524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2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3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4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5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5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7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7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1924916</xdr:colOff>
      <xdr:row>4</xdr:row>
      <xdr:rowOff>228601</xdr:rowOff>
    </xdr:to>
    <xdr:sp macro="" textlink="">
      <xdr:nvSpPr>
        <xdr:cNvPr id="15714" name="AutoShape 1" hidden="1"/>
        <xdr:cNvSpPr>
          <a:spLocks noChangeAspect="1" noChangeArrowheads="1"/>
        </xdr:cNvSpPr>
      </xdr:nvSpPr>
      <xdr:spPr bwMode="auto">
        <a:xfrm>
          <a:off x="2156604" y="325288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7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5195</xdr:rowOff>
    </xdr:from>
    <xdr:to>
      <xdr:col>2</xdr:col>
      <xdr:colOff>1924916</xdr:colOff>
      <xdr:row>4</xdr:row>
      <xdr:rowOff>303934</xdr:rowOff>
    </xdr:to>
    <xdr:sp macro="" textlink="">
      <xdr:nvSpPr>
        <xdr:cNvPr id="15749" name="AutoShape 1" hidden="1"/>
        <xdr:cNvSpPr>
          <a:spLocks noChangeAspect="1" noChangeArrowheads="1"/>
        </xdr:cNvSpPr>
      </xdr:nvSpPr>
      <xdr:spPr bwMode="auto">
        <a:xfrm>
          <a:off x="2156604" y="332999"/>
          <a:ext cx="1079527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75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75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75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75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5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5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7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7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75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5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76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6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6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6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6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6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6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6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6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6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7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7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7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7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8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8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8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8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8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8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9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9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9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9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79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79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79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9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880630</xdr:colOff>
      <xdr:row>4</xdr:row>
      <xdr:rowOff>218575</xdr:rowOff>
    </xdr:to>
    <xdr:sp macro="" textlink="">
      <xdr:nvSpPr>
        <xdr:cNvPr id="15798" name="AutoShape 1" hidden="1"/>
        <xdr:cNvSpPr>
          <a:spLocks noChangeAspect="1" noChangeArrowheads="1"/>
        </xdr:cNvSpPr>
      </xdr:nvSpPr>
      <xdr:spPr bwMode="auto">
        <a:xfrm>
          <a:off x="28035849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9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0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0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0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0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0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0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1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1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1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1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2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2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2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2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3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3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3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3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3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3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83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3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4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84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84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43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84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8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84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47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84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4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5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51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85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5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55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85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8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85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59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86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86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86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63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158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1586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943840</xdr:colOff>
      <xdr:row>4</xdr:row>
      <xdr:rowOff>238126</xdr:rowOff>
    </xdr:to>
    <xdr:sp macro="" textlink="">
      <xdr:nvSpPr>
        <xdr:cNvPr id="1586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1586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158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1586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943840</xdr:colOff>
      <xdr:row>4</xdr:row>
      <xdr:rowOff>238126</xdr:rowOff>
    </xdr:to>
    <xdr:sp macro="" textlink="">
      <xdr:nvSpPr>
        <xdr:cNvPr id="1587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1587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7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7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87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7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7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87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8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88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8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88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8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8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8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88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8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8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9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89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8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8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9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8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9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8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0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90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0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0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90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0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1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9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1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1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1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1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1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1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2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2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2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2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2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2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2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3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93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3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3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93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3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3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3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4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4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4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4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94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4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5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95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5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5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95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5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95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6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6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6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6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6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6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6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6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7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7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7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7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7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7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7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97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8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8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98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8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8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9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9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9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9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9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9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600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600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600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600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600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600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600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60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943842</xdr:colOff>
      <xdr:row>4</xdr:row>
      <xdr:rowOff>218575</xdr:rowOff>
    </xdr:to>
    <xdr:sp macro="" textlink="">
      <xdr:nvSpPr>
        <xdr:cNvPr id="16008" name="AutoShape 1" hidden="1"/>
        <xdr:cNvSpPr>
          <a:spLocks noChangeAspect="1" noChangeArrowheads="1"/>
        </xdr:cNvSpPr>
      </xdr:nvSpPr>
      <xdr:spPr bwMode="auto">
        <a:xfrm>
          <a:off x="2156604" y="323888"/>
          <a:ext cx="943842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16009" name="AutoShape 1" hidden="1"/>
        <xdr:cNvSpPr>
          <a:spLocks noChangeAspect="1" noChangeArrowheads="1"/>
        </xdr:cNvSpPr>
      </xdr:nvSpPr>
      <xdr:spPr bwMode="auto">
        <a:xfrm>
          <a:off x="28035849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6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1441825</xdr:colOff>
      <xdr:row>4</xdr:row>
      <xdr:rowOff>238126</xdr:rowOff>
    </xdr:to>
    <xdr:sp macro="" textlink="">
      <xdr:nvSpPr>
        <xdr:cNvPr id="16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1441825</xdr:colOff>
      <xdr:row>4</xdr:row>
      <xdr:rowOff>238126</xdr:rowOff>
    </xdr:to>
    <xdr:sp macro="" textlink="">
      <xdr:nvSpPr>
        <xdr:cNvPr id="16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60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60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607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60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607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60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608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608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60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60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0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609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1711857</xdr:colOff>
      <xdr:row>4</xdr:row>
      <xdr:rowOff>238126</xdr:rowOff>
    </xdr:to>
    <xdr:sp macro="" textlink="">
      <xdr:nvSpPr>
        <xdr:cNvPr id="16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1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6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1711857</xdr:colOff>
      <xdr:row>4</xdr:row>
      <xdr:rowOff>276226</xdr:rowOff>
    </xdr:to>
    <xdr:sp macro="" textlink="">
      <xdr:nvSpPr>
        <xdr:cNvPr id="16095" name="AutoShape 1" hidden="1"/>
        <xdr:cNvSpPr>
          <a:spLocks noChangeAspect="1" noChangeArrowheads="1"/>
        </xdr:cNvSpPr>
      </xdr:nvSpPr>
      <xdr:spPr bwMode="auto">
        <a:xfrm>
          <a:off x="2156604" y="329781"/>
          <a:ext cx="10821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6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6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6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61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6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1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1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1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616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61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62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2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62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2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2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63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3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63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34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3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3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3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3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643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4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64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64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64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52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65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65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6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6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6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6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6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6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1431166</xdr:colOff>
      <xdr:row>4</xdr:row>
      <xdr:rowOff>238126</xdr:rowOff>
    </xdr:to>
    <xdr:sp macro="" textlink="">
      <xdr:nvSpPr>
        <xdr:cNvPr id="16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1431166</xdr:colOff>
      <xdr:row>4</xdr:row>
      <xdr:rowOff>238126</xdr:rowOff>
    </xdr:to>
    <xdr:sp macro="" textlink="">
      <xdr:nvSpPr>
        <xdr:cNvPr id="16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6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66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7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670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67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670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67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670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670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67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67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67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1715367</xdr:colOff>
      <xdr:row>4</xdr:row>
      <xdr:rowOff>238126</xdr:rowOff>
    </xdr:to>
    <xdr:sp macro="" textlink="">
      <xdr:nvSpPr>
        <xdr:cNvPr id="16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1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6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1715367</xdr:colOff>
      <xdr:row>4</xdr:row>
      <xdr:rowOff>276226</xdr:rowOff>
    </xdr:to>
    <xdr:sp macro="" textlink="">
      <xdr:nvSpPr>
        <xdr:cNvPr id="16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1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6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6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6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67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7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67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6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67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67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67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6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679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6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67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6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68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6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684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6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68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68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688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69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693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697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9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697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01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02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0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0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0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1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1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1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1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1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1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1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1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2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72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2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72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2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72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72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2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3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3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3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3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3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3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5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5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5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7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7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1658171</xdr:colOff>
      <xdr:row>4</xdr:row>
      <xdr:rowOff>238126</xdr:rowOff>
    </xdr:to>
    <xdr:sp macro="" textlink="">
      <xdr:nvSpPr>
        <xdr:cNvPr id="17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1562921</xdr:colOff>
      <xdr:row>4</xdr:row>
      <xdr:rowOff>276226</xdr:rowOff>
    </xdr:to>
    <xdr:sp macro="" textlink="">
      <xdr:nvSpPr>
        <xdr:cNvPr id="17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84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78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78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78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78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78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783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837334</xdr:colOff>
      <xdr:row>4</xdr:row>
      <xdr:rowOff>218575</xdr:rowOff>
    </xdr:to>
    <xdr:sp macro="" textlink="">
      <xdr:nvSpPr>
        <xdr:cNvPr id="17833" name="AutoShape 1" hidden="1"/>
        <xdr:cNvSpPr>
          <a:spLocks noChangeAspect="1" noChangeArrowheads="1"/>
        </xdr:cNvSpPr>
      </xdr:nvSpPr>
      <xdr:spPr bwMode="auto">
        <a:xfrm>
          <a:off x="28035849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78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7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78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7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78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1915345</xdr:colOff>
      <xdr:row>4</xdr:row>
      <xdr:rowOff>238126</xdr:rowOff>
    </xdr:to>
    <xdr:sp macro="" textlink="">
      <xdr:nvSpPr>
        <xdr:cNvPr id="17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1562921</xdr:colOff>
      <xdr:row>4</xdr:row>
      <xdr:rowOff>238126</xdr:rowOff>
    </xdr:to>
    <xdr:sp macro="" textlink="">
      <xdr:nvSpPr>
        <xdr:cNvPr id="17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1823560</xdr:colOff>
      <xdr:row>4</xdr:row>
      <xdr:rowOff>276226</xdr:rowOff>
    </xdr:to>
    <xdr:sp macro="" textlink="">
      <xdr:nvSpPr>
        <xdr:cNvPr id="17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1562921</xdr:colOff>
      <xdr:row>4</xdr:row>
      <xdr:rowOff>238126</xdr:rowOff>
    </xdr:to>
    <xdr:sp macro="" textlink="">
      <xdr:nvSpPr>
        <xdr:cNvPr id="17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1658171</xdr:colOff>
      <xdr:row>4</xdr:row>
      <xdr:rowOff>238126</xdr:rowOff>
    </xdr:to>
    <xdr:sp macro="" textlink="">
      <xdr:nvSpPr>
        <xdr:cNvPr id="17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7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78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78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78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788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8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78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79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9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79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79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9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79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79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0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8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0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80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0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0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1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1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1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81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1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81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82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82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2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2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2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83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83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3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3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36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1677221</xdr:colOff>
      <xdr:row>4</xdr:row>
      <xdr:rowOff>238126</xdr:rowOff>
    </xdr:to>
    <xdr:sp macro="" textlink="">
      <xdr:nvSpPr>
        <xdr:cNvPr id="18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1639121</xdr:colOff>
      <xdr:row>4</xdr:row>
      <xdr:rowOff>276226</xdr:rowOff>
    </xdr:to>
    <xdr:sp macro="" textlink="">
      <xdr:nvSpPr>
        <xdr:cNvPr id="18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0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1639121</xdr:colOff>
      <xdr:row>4</xdr:row>
      <xdr:rowOff>238126</xdr:rowOff>
    </xdr:to>
    <xdr:sp macro="" textlink="">
      <xdr:nvSpPr>
        <xdr:cNvPr id="18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1639121</xdr:colOff>
      <xdr:row>4</xdr:row>
      <xdr:rowOff>238126</xdr:rowOff>
    </xdr:to>
    <xdr:sp macro="" textlink="">
      <xdr:nvSpPr>
        <xdr:cNvPr id="18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1677221</xdr:colOff>
      <xdr:row>4</xdr:row>
      <xdr:rowOff>238126</xdr:rowOff>
    </xdr:to>
    <xdr:sp macro="" textlink="">
      <xdr:nvSpPr>
        <xdr:cNvPr id="18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1639121</xdr:colOff>
      <xdr:row>4</xdr:row>
      <xdr:rowOff>276226</xdr:rowOff>
    </xdr:to>
    <xdr:sp macro="" textlink="">
      <xdr:nvSpPr>
        <xdr:cNvPr id="183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0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40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4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84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4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84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84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850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0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5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50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0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5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5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5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5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5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5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5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2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5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52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2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52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1853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185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185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1853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1853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185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185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1853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4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54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54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4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5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54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4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5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55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5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5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55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5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55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5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56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6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5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56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6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6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5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57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7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7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5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57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7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7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5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57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8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58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58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8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5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58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8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5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59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9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5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59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9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5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59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0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60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60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0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6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60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0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6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61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61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6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6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61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61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6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61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61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2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62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62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2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6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62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2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63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63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3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6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63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3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6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63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4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64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64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4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6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64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4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6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65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5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6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65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6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65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6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6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6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66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66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6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6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66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1504267</xdr:colOff>
      <xdr:row>4</xdr:row>
      <xdr:rowOff>238126</xdr:rowOff>
    </xdr:to>
    <xdr:sp macro="" textlink="">
      <xdr:nvSpPr>
        <xdr:cNvPr id="18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57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7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1409883</xdr:colOff>
      <xdr:row>4</xdr:row>
      <xdr:rowOff>295275</xdr:rowOff>
    </xdr:to>
    <xdr:sp macro="" textlink="">
      <xdr:nvSpPr>
        <xdr:cNvPr id="18711" name="AutoShape 1" hidden="1"/>
        <xdr:cNvSpPr>
          <a:spLocks noChangeAspect="1" noChangeArrowheads="1"/>
        </xdr:cNvSpPr>
      </xdr:nvSpPr>
      <xdr:spPr bwMode="auto">
        <a:xfrm>
          <a:off x="2156604" y="327804"/>
          <a:ext cx="1082079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7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7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7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7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7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7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7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904009</xdr:colOff>
      <xdr:row>4</xdr:row>
      <xdr:rowOff>218575</xdr:rowOff>
    </xdr:to>
    <xdr:sp macro="" textlink="">
      <xdr:nvSpPr>
        <xdr:cNvPr id="18719" name="AutoShape 1" hidden="1"/>
        <xdr:cNvSpPr>
          <a:spLocks noChangeAspect="1" noChangeArrowheads="1"/>
        </xdr:cNvSpPr>
      </xdr:nvSpPr>
      <xdr:spPr bwMode="auto">
        <a:xfrm>
          <a:off x="28035849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18720" name="AutoShape 1" hidden="1"/>
        <xdr:cNvSpPr>
          <a:spLocks noChangeAspect="1" noChangeArrowheads="1"/>
        </xdr:cNvSpPr>
      </xdr:nvSpPr>
      <xdr:spPr bwMode="auto">
        <a:xfrm>
          <a:off x="28035849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1499754</xdr:colOff>
      <xdr:row>4</xdr:row>
      <xdr:rowOff>219076</xdr:rowOff>
    </xdr:to>
    <xdr:sp macro="" textlink="">
      <xdr:nvSpPr>
        <xdr:cNvPr id="18794" name="AutoShape 1" hidden="1"/>
        <xdr:cNvSpPr>
          <a:spLocks noChangeAspect="1" noChangeArrowheads="1"/>
        </xdr:cNvSpPr>
      </xdr:nvSpPr>
      <xdr:spPr bwMode="auto">
        <a:xfrm>
          <a:off x="2156604" y="324389"/>
          <a:ext cx="107706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884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88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8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88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88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88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89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9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89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8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89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8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89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90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0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90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90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0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90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9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1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91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91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1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916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92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920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1404505</xdr:colOff>
      <xdr:row>4</xdr:row>
      <xdr:rowOff>228601</xdr:rowOff>
    </xdr:to>
    <xdr:sp macro="" textlink="">
      <xdr:nvSpPr>
        <xdr:cNvPr id="19385" name="AutoShape 1" hidden="1"/>
        <xdr:cNvSpPr>
          <a:spLocks noChangeAspect="1" noChangeArrowheads="1"/>
        </xdr:cNvSpPr>
      </xdr:nvSpPr>
      <xdr:spPr bwMode="auto">
        <a:xfrm>
          <a:off x="2156604" y="325288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4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4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4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4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949904</xdr:colOff>
      <xdr:row>4</xdr:row>
      <xdr:rowOff>295275</xdr:rowOff>
    </xdr:to>
    <xdr:sp macro="" textlink="">
      <xdr:nvSpPr>
        <xdr:cNvPr id="19422" name="AutoShape 1" hidden="1"/>
        <xdr:cNvSpPr>
          <a:spLocks noChangeAspect="1" noChangeArrowheads="1"/>
        </xdr:cNvSpPr>
      </xdr:nvSpPr>
      <xdr:spPr bwMode="auto">
        <a:xfrm>
          <a:off x="2156604" y="327804"/>
          <a:ext cx="949904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1019178</xdr:colOff>
      <xdr:row>4</xdr:row>
      <xdr:rowOff>295275</xdr:rowOff>
    </xdr:to>
    <xdr:sp macro="" textlink="">
      <xdr:nvSpPr>
        <xdr:cNvPr id="19423" name="AutoShape 1" hidden="1"/>
        <xdr:cNvSpPr>
          <a:spLocks noChangeAspect="1" noChangeArrowheads="1"/>
        </xdr:cNvSpPr>
      </xdr:nvSpPr>
      <xdr:spPr bwMode="auto">
        <a:xfrm>
          <a:off x="2156604" y="327804"/>
          <a:ext cx="1019178" cy="493683"/>
        </a:xfrm>
        <a:prstGeom prst="rect">
          <a:avLst/>
        </a:prstGeom>
        <a:noFill/>
      </xdr:spPr>
    </xdr:sp>
    <xdr:clientData/>
  </xdr:twoCellAnchor>
  <xdr:oneCellAnchor>
    <xdr:from>
      <xdr:col>2</xdr:col>
      <xdr:colOff>2545773</xdr:colOff>
      <xdr:row>61</xdr:row>
      <xdr:rowOff>0</xdr:rowOff>
    </xdr:from>
    <xdr:ext cx="184731" cy="264560"/>
    <xdr:sp macro="" textlink="">
      <xdr:nvSpPr>
        <xdr:cNvPr id="19424" name="CaixaDeTexto 19423" hidden="1"/>
        <xdr:cNvSpPr txBox="1"/>
      </xdr:nvSpPr>
      <xdr:spPr>
        <a:xfrm>
          <a:off x="3235887" y="999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1388053</xdr:colOff>
      <xdr:row>4</xdr:row>
      <xdr:rowOff>218575</xdr:rowOff>
    </xdr:to>
    <xdr:sp macro="" textlink="">
      <xdr:nvSpPr>
        <xdr:cNvPr id="19433" name="AutoShape 1" hidden="1"/>
        <xdr:cNvSpPr>
          <a:spLocks noChangeAspect="1" noChangeArrowheads="1"/>
        </xdr:cNvSpPr>
      </xdr:nvSpPr>
      <xdr:spPr bwMode="auto">
        <a:xfrm>
          <a:off x="2156604" y="323888"/>
          <a:ext cx="1077502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19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19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1388920</xdr:colOff>
      <xdr:row>4</xdr:row>
      <xdr:rowOff>295275</xdr:rowOff>
    </xdr:to>
    <xdr:sp macro="" textlink="">
      <xdr:nvSpPr>
        <xdr:cNvPr id="19563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69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1188894</xdr:colOff>
      <xdr:row>4</xdr:row>
      <xdr:rowOff>218575</xdr:rowOff>
    </xdr:to>
    <xdr:sp macro="" textlink="">
      <xdr:nvSpPr>
        <xdr:cNvPr id="19612" name="AutoShape 1" hidden="1"/>
        <xdr:cNvSpPr>
          <a:spLocks noChangeAspect="1" noChangeArrowheads="1"/>
        </xdr:cNvSpPr>
      </xdr:nvSpPr>
      <xdr:spPr bwMode="auto">
        <a:xfrm>
          <a:off x="2156604" y="323888"/>
          <a:ext cx="1076751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19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19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19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19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1284144</xdr:colOff>
      <xdr:row>4</xdr:row>
      <xdr:rowOff>218575</xdr:rowOff>
    </xdr:to>
    <xdr:sp macro="" textlink="">
      <xdr:nvSpPr>
        <xdr:cNvPr id="19822" name="AutoShape 1" hidden="1"/>
        <xdr:cNvSpPr>
          <a:spLocks noChangeAspect="1" noChangeArrowheads="1"/>
        </xdr:cNvSpPr>
      </xdr:nvSpPr>
      <xdr:spPr bwMode="auto">
        <a:xfrm>
          <a:off x="2156604" y="323888"/>
          <a:ext cx="107711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1171577</xdr:colOff>
      <xdr:row>4</xdr:row>
      <xdr:rowOff>295275</xdr:rowOff>
    </xdr:to>
    <xdr:sp macro="" textlink="">
      <xdr:nvSpPr>
        <xdr:cNvPr id="19823" name="AutoShape 1" hidden="1"/>
        <xdr:cNvSpPr>
          <a:spLocks noChangeAspect="1" noChangeArrowheads="1"/>
        </xdr:cNvSpPr>
      </xdr:nvSpPr>
      <xdr:spPr bwMode="auto">
        <a:xfrm>
          <a:off x="2156604" y="327804"/>
          <a:ext cx="107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8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1145598</xdr:colOff>
      <xdr:row>4</xdr:row>
      <xdr:rowOff>218575</xdr:rowOff>
    </xdr:to>
    <xdr:sp macro="" textlink="">
      <xdr:nvSpPr>
        <xdr:cNvPr id="19906" name="AutoShape 1" hidden="1"/>
        <xdr:cNvSpPr>
          <a:spLocks noChangeAspect="1" noChangeArrowheads="1"/>
        </xdr:cNvSpPr>
      </xdr:nvSpPr>
      <xdr:spPr bwMode="auto">
        <a:xfrm>
          <a:off x="2156604" y="323888"/>
          <a:ext cx="1076587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19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199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19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199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9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19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199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19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19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9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19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19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1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1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20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20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1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1212273</xdr:colOff>
      <xdr:row>4</xdr:row>
      <xdr:rowOff>218575</xdr:rowOff>
    </xdr:to>
    <xdr:sp macro="" textlink="">
      <xdr:nvSpPr>
        <xdr:cNvPr id="20116" name="AutoShape 1" hidden="1"/>
        <xdr:cNvSpPr>
          <a:spLocks noChangeAspect="1" noChangeArrowheads="1"/>
        </xdr:cNvSpPr>
      </xdr:nvSpPr>
      <xdr:spPr bwMode="auto">
        <a:xfrm>
          <a:off x="2156604" y="323888"/>
          <a:ext cx="107425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1146465</xdr:colOff>
      <xdr:row>4</xdr:row>
      <xdr:rowOff>295275</xdr:rowOff>
    </xdr:to>
    <xdr:sp macro="" textlink="">
      <xdr:nvSpPr>
        <xdr:cNvPr id="20117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4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1365540</xdr:colOff>
      <xdr:row>4</xdr:row>
      <xdr:rowOff>295275</xdr:rowOff>
    </xdr:to>
    <xdr:sp macro="" textlink="">
      <xdr:nvSpPr>
        <xdr:cNvPr id="20184" name="AutoShape 1" hidden="1"/>
        <xdr:cNvSpPr>
          <a:spLocks noChangeAspect="1" noChangeArrowheads="1"/>
        </xdr:cNvSpPr>
      </xdr:nvSpPr>
      <xdr:spPr bwMode="auto">
        <a:xfrm>
          <a:off x="2156604" y="327804"/>
          <a:ext cx="1080868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1434814</xdr:colOff>
      <xdr:row>4</xdr:row>
      <xdr:rowOff>295275</xdr:rowOff>
    </xdr:to>
    <xdr:sp macro="" textlink="">
      <xdr:nvSpPr>
        <xdr:cNvPr id="20185" name="AutoShape 1" hidden="1"/>
        <xdr:cNvSpPr>
          <a:spLocks noChangeAspect="1" noChangeArrowheads="1"/>
        </xdr:cNvSpPr>
      </xdr:nvSpPr>
      <xdr:spPr bwMode="auto">
        <a:xfrm>
          <a:off x="2156604" y="327804"/>
          <a:ext cx="108113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2301854</xdr:colOff>
      <xdr:row>4</xdr:row>
      <xdr:rowOff>295275</xdr:rowOff>
    </xdr:to>
    <xdr:sp macro="" textlink="">
      <xdr:nvSpPr>
        <xdr:cNvPr id="20186" name="AutoShape 1" hidden="1"/>
        <xdr:cNvSpPr>
          <a:spLocks noChangeAspect="1" noChangeArrowheads="1"/>
        </xdr:cNvSpPr>
      </xdr:nvSpPr>
      <xdr:spPr bwMode="auto">
        <a:xfrm>
          <a:off x="2156604" y="327804"/>
          <a:ext cx="107690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2084511</xdr:colOff>
      <xdr:row>4</xdr:row>
      <xdr:rowOff>295275</xdr:rowOff>
    </xdr:to>
    <xdr:sp macro="" textlink="">
      <xdr:nvSpPr>
        <xdr:cNvPr id="20187" name="AutoShape 1" hidden="1"/>
        <xdr:cNvSpPr>
          <a:spLocks noChangeAspect="1" noChangeArrowheads="1"/>
        </xdr:cNvSpPr>
      </xdr:nvSpPr>
      <xdr:spPr bwMode="auto">
        <a:xfrm>
          <a:off x="2156604" y="327804"/>
          <a:ext cx="107522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2060864</xdr:colOff>
      <xdr:row>4</xdr:row>
      <xdr:rowOff>295275</xdr:rowOff>
    </xdr:to>
    <xdr:sp macro="" textlink="">
      <xdr:nvSpPr>
        <xdr:cNvPr id="20188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1843521</xdr:colOff>
      <xdr:row>4</xdr:row>
      <xdr:rowOff>295275</xdr:rowOff>
    </xdr:to>
    <xdr:sp macro="" textlink="">
      <xdr:nvSpPr>
        <xdr:cNvPr id="20189" name="AutoShape 1" hidden="1"/>
        <xdr:cNvSpPr>
          <a:spLocks noChangeAspect="1" noChangeArrowheads="1"/>
        </xdr:cNvSpPr>
      </xdr:nvSpPr>
      <xdr:spPr bwMode="auto">
        <a:xfrm>
          <a:off x="2156604" y="327804"/>
          <a:ext cx="1075770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2278474</xdr:colOff>
      <xdr:row>4</xdr:row>
      <xdr:rowOff>295275</xdr:rowOff>
    </xdr:to>
    <xdr:sp macro="" textlink="">
      <xdr:nvSpPr>
        <xdr:cNvPr id="20190" name="AutoShape 1" hidden="1"/>
        <xdr:cNvSpPr>
          <a:spLocks noChangeAspect="1" noChangeArrowheads="1"/>
        </xdr:cNvSpPr>
      </xdr:nvSpPr>
      <xdr:spPr bwMode="auto">
        <a:xfrm>
          <a:off x="2156604" y="327804"/>
          <a:ext cx="1079402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2347748</xdr:colOff>
      <xdr:row>4</xdr:row>
      <xdr:rowOff>295275</xdr:rowOff>
    </xdr:to>
    <xdr:sp macro="" textlink="">
      <xdr:nvSpPr>
        <xdr:cNvPr id="20191" name="AutoShape 1" hidden="1"/>
        <xdr:cNvSpPr>
          <a:spLocks noChangeAspect="1" noChangeArrowheads="1"/>
        </xdr:cNvSpPr>
      </xdr:nvSpPr>
      <xdr:spPr bwMode="auto">
        <a:xfrm>
          <a:off x="2156604" y="327804"/>
          <a:ext cx="1079665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2301854</xdr:colOff>
      <xdr:row>4</xdr:row>
      <xdr:rowOff>295275</xdr:rowOff>
    </xdr:to>
    <xdr:sp macro="" textlink="">
      <xdr:nvSpPr>
        <xdr:cNvPr id="20192" name="AutoShape 1" hidden="1"/>
        <xdr:cNvSpPr>
          <a:spLocks noChangeAspect="1" noChangeArrowheads="1"/>
        </xdr:cNvSpPr>
      </xdr:nvSpPr>
      <xdr:spPr bwMode="auto">
        <a:xfrm>
          <a:off x="2156604" y="327804"/>
          <a:ext cx="107690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2084511</xdr:colOff>
      <xdr:row>4</xdr:row>
      <xdr:rowOff>295275</xdr:rowOff>
    </xdr:to>
    <xdr:sp macro="" textlink="">
      <xdr:nvSpPr>
        <xdr:cNvPr id="20193" name="AutoShape 1" hidden="1"/>
        <xdr:cNvSpPr>
          <a:spLocks noChangeAspect="1" noChangeArrowheads="1"/>
        </xdr:cNvSpPr>
      </xdr:nvSpPr>
      <xdr:spPr bwMode="auto">
        <a:xfrm>
          <a:off x="2156604" y="327804"/>
          <a:ext cx="107522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2060864</xdr:colOff>
      <xdr:row>4</xdr:row>
      <xdr:rowOff>295275</xdr:rowOff>
    </xdr:to>
    <xdr:sp macro="" textlink="">
      <xdr:nvSpPr>
        <xdr:cNvPr id="20194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2278474</xdr:colOff>
      <xdr:row>4</xdr:row>
      <xdr:rowOff>295275</xdr:rowOff>
    </xdr:to>
    <xdr:sp macro="" textlink="">
      <xdr:nvSpPr>
        <xdr:cNvPr id="20195" name="AutoShape 1" hidden="1"/>
        <xdr:cNvSpPr>
          <a:spLocks noChangeAspect="1" noChangeArrowheads="1"/>
        </xdr:cNvSpPr>
      </xdr:nvSpPr>
      <xdr:spPr bwMode="auto">
        <a:xfrm>
          <a:off x="2156604" y="327804"/>
          <a:ext cx="1079402" cy="493683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51289</xdr:colOff>
      <xdr:row>4</xdr:row>
      <xdr:rowOff>95249</xdr:rowOff>
    </xdr:from>
    <xdr:to>
      <xdr:col>37</xdr:col>
      <xdr:colOff>160151</xdr:colOff>
      <xdr:row>7</xdr:row>
      <xdr:rowOff>74734</xdr:rowOff>
    </xdr:to>
    <xdr:sp macro="" textlink="">
      <xdr:nvSpPr>
        <xdr:cNvPr id="20196" name="AutoShape 1" hidden="1"/>
        <xdr:cNvSpPr>
          <a:spLocks noChangeAspect="1" noChangeArrowheads="1"/>
        </xdr:cNvSpPr>
      </xdr:nvSpPr>
      <xdr:spPr bwMode="auto">
        <a:xfrm>
          <a:off x="37791855" y="750857"/>
          <a:ext cx="2265466" cy="47119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29</xdr:col>
      <xdr:colOff>1003246</xdr:colOff>
      <xdr:row>4</xdr:row>
      <xdr:rowOff>295275</xdr:rowOff>
    </xdr:to>
    <xdr:sp macro="" textlink="">
      <xdr:nvSpPr>
        <xdr:cNvPr id="20197" name="AutoShape 1" hidden="1"/>
        <xdr:cNvSpPr>
          <a:spLocks noChangeAspect="1" noChangeArrowheads="1"/>
        </xdr:cNvSpPr>
      </xdr:nvSpPr>
      <xdr:spPr bwMode="auto">
        <a:xfrm>
          <a:off x="4313208" y="327804"/>
          <a:ext cx="2796079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29</xdr:col>
      <xdr:colOff>755352</xdr:colOff>
      <xdr:row>4</xdr:row>
      <xdr:rowOff>295275</xdr:rowOff>
    </xdr:to>
    <xdr:sp macro="" textlink="">
      <xdr:nvSpPr>
        <xdr:cNvPr id="20198" name="AutoShape 1" hidden="1"/>
        <xdr:cNvSpPr>
          <a:spLocks noChangeAspect="1" noChangeArrowheads="1"/>
        </xdr:cNvSpPr>
      </xdr:nvSpPr>
      <xdr:spPr bwMode="auto">
        <a:xfrm>
          <a:off x="4313208" y="327804"/>
          <a:ext cx="277128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29</xdr:col>
      <xdr:colOff>730240</xdr:colOff>
      <xdr:row>4</xdr:row>
      <xdr:rowOff>295275</xdr:rowOff>
    </xdr:to>
    <xdr:sp macro="" textlink="">
      <xdr:nvSpPr>
        <xdr:cNvPr id="20199" name="AutoShape 1" hidden="1"/>
        <xdr:cNvSpPr>
          <a:spLocks noChangeAspect="1" noChangeArrowheads="1"/>
        </xdr:cNvSpPr>
      </xdr:nvSpPr>
      <xdr:spPr bwMode="auto">
        <a:xfrm>
          <a:off x="4313208" y="327804"/>
          <a:ext cx="276877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29</xdr:col>
      <xdr:colOff>512897</xdr:colOff>
      <xdr:row>4</xdr:row>
      <xdr:rowOff>295275</xdr:rowOff>
    </xdr:to>
    <xdr:sp macro="" textlink="">
      <xdr:nvSpPr>
        <xdr:cNvPr id="20200" name="AutoShape 1" hidden="1"/>
        <xdr:cNvSpPr>
          <a:spLocks noChangeAspect="1" noChangeArrowheads="1"/>
        </xdr:cNvSpPr>
      </xdr:nvSpPr>
      <xdr:spPr bwMode="auto">
        <a:xfrm>
          <a:off x="4313208" y="327804"/>
          <a:ext cx="2747044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29</xdr:col>
      <xdr:colOff>979866</xdr:colOff>
      <xdr:row>4</xdr:row>
      <xdr:rowOff>295275</xdr:rowOff>
    </xdr:to>
    <xdr:sp macro="" textlink="">
      <xdr:nvSpPr>
        <xdr:cNvPr id="20201" name="AutoShape 1" hidden="1"/>
        <xdr:cNvSpPr>
          <a:spLocks noChangeAspect="1" noChangeArrowheads="1"/>
        </xdr:cNvSpPr>
      </xdr:nvSpPr>
      <xdr:spPr bwMode="auto">
        <a:xfrm>
          <a:off x="4313208" y="327804"/>
          <a:ext cx="2793741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29</xdr:col>
      <xdr:colOff>1049140</xdr:colOff>
      <xdr:row>4</xdr:row>
      <xdr:rowOff>295275</xdr:rowOff>
    </xdr:to>
    <xdr:sp macro="" textlink="">
      <xdr:nvSpPr>
        <xdr:cNvPr id="20202" name="AutoShape 1" hidden="1"/>
        <xdr:cNvSpPr>
          <a:spLocks noChangeAspect="1" noChangeArrowheads="1"/>
        </xdr:cNvSpPr>
      </xdr:nvSpPr>
      <xdr:spPr bwMode="auto">
        <a:xfrm>
          <a:off x="4313208" y="327804"/>
          <a:ext cx="2800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29</xdr:col>
      <xdr:colOff>1003246</xdr:colOff>
      <xdr:row>4</xdr:row>
      <xdr:rowOff>295275</xdr:rowOff>
    </xdr:to>
    <xdr:sp macro="" textlink="">
      <xdr:nvSpPr>
        <xdr:cNvPr id="20203" name="AutoShape 1" hidden="1"/>
        <xdr:cNvSpPr>
          <a:spLocks noChangeAspect="1" noChangeArrowheads="1"/>
        </xdr:cNvSpPr>
      </xdr:nvSpPr>
      <xdr:spPr bwMode="auto">
        <a:xfrm>
          <a:off x="4313208" y="327804"/>
          <a:ext cx="2796079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29</xdr:col>
      <xdr:colOff>755352</xdr:colOff>
      <xdr:row>4</xdr:row>
      <xdr:rowOff>295275</xdr:rowOff>
    </xdr:to>
    <xdr:sp macro="" textlink="">
      <xdr:nvSpPr>
        <xdr:cNvPr id="20204" name="AutoShape 1" hidden="1"/>
        <xdr:cNvSpPr>
          <a:spLocks noChangeAspect="1" noChangeArrowheads="1"/>
        </xdr:cNvSpPr>
      </xdr:nvSpPr>
      <xdr:spPr bwMode="auto">
        <a:xfrm>
          <a:off x="4313208" y="327804"/>
          <a:ext cx="277128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29</xdr:col>
      <xdr:colOff>730240</xdr:colOff>
      <xdr:row>4</xdr:row>
      <xdr:rowOff>295275</xdr:rowOff>
    </xdr:to>
    <xdr:sp macro="" textlink="">
      <xdr:nvSpPr>
        <xdr:cNvPr id="20205" name="AutoShape 1" hidden="1"/>
        <xdr:cNvSpPr>
          <a:spLocks noChangeAspect="1" noChangeArrowheads="1"/>
        </xdr:cNvSpPr>
      </xdr:nvSpPr>
      <xdr:spPr bwMode="auto">
        <a:xfrm>
          <a:off x="4313208" y="327804"/>
          <a:ext cx="276877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29</xdr:col>
      <xdr:colOff>979866</xdr:colOff>
      <xdr:row>4</xdr:row>
      <xdr:rowOff>295275</xdr:rowOff>
    </xdr:to>
    <xdr:sp macro="" textlink="">
      <xdr:nvSpPr>
        <xdr:cNvPr id="20206" name="AutoShape 1" hidden="1"/>
        <xdr:cNvSpPr>
          <a:spLocks noChangeAspect="1" noChangeArrowheads="1"/>
        </xdr:cNvSpPr>
      </xdr:nvSpPr>
      <xdr:spPr bwMode="auto">
        <a:xfrm>
          <a:off x="4313208" y="327804"/>
          <a:ext cx="2793741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29</xdr:col>
      <xdr:colOff>1049140</xdr:colOff>
      <xdr:row>4</xdr:row>
      <xdr:rowOff>295275</xdr:rowOff>
    </xdr:to>
    <xdr:sp macro="" textlink="">
      <xdr:nvSpPr>
        <xdr:cNvPr id="20207" name="AutoShape 1" hidden="1"/>
        <xdr:cNvSpPr>
          <a:spLocks noChangeAspect="1" noChangeArrowheads="1"/>
        </xdr:cNvSpPr>
      </xdr:nvSpPr>
      <xdr:spPr bwMode="auto">
        <a:xfrm>
          <a:off x="4313208" y="327804"/>
          <a:ext cx="2800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30</xdr:col>
      <xdr:colOff>764585</xdr:colOff>
      <xdr:row>4</xdr:row>
      <xdr:rowOff>295275</xdr:rowOff>
    </xdr:to>
    <xdr:sp macro="" textlink="">
      <xdr:nvSpPr>
        <xdr:cNvPr id="20208" name="AutoShape 1" hidden="1"/>
        <xdr:cNvSpPr>
          <a:spLocks noChangeAspect="1" noChangeArrowheads="1"/>
        </xdr:cNvSpPr>
      </xdr:nvSpPr>
      <xdr:spPr bwMode="auto">
        <a:xfrm>
          <a:off x="4313208" y="327804"/>
          <a:ext cx="2880043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30</xdr:col>
      <xdr:colOff>547242</xdr:colOff>
      <xdr:row>4</xdr:row>
      <xdr:rowOff>295275</xdr:rowOff>
    </xdr:to>
    <xdr:sp macro="" textlink="">
      <xdr:nvSpPr>
        <xdr:cNvPr id="20209" name="AutoShape 1" hidden="1"/>
        <xdr:cNvSpPr>
          <a:spLocks noChangeAspect="1" noChangeArrowheads="1"/>
        </xdr:cNvSpPr>
      </xdr:nvSpPr>
      <xdr:spPr bwMode="auto">
        <a:xfrm>
          <a:off x="4313208" y="327804"/>
          <a:ext cx="2858309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30</xdr:col>
      <xdr:colOff>522130</xdr:colOff>
      <xdr:row>4</xdr:row>
      <xdr:rowOff>295275</xdr:rowOff>
    </xdr:to>
    <xdr:sp macro="" textlink="">
      <xdr:nvSpPr>
        <xdr:cNvPr id="20210" name="AutoShape 1" hidden="1"/>
        <xdr:cNvSpPr>
          <a:spLocks noChangeAspect="1" noChangeArrowheads="1"/>
        </xdr:cNvSpPr>
      </xdr:nvSpPr>
      <xdr:spPr bwMode="auto">
        <a:xfrm>
          <a:off x="4313208" y="327804"/>
          <a:ext cx="2855797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30</xdr:col>
      <xdr:colOff>304787</xdr:colOff>
      <xdr:row>4</xdr:row>
      <xdr:rowOff>295275</xdr:rowOff>
    </xdr:to>
    <xdr:sp macro="" textlink="">
      <xdr:nvSpPr>
        <xdr:cNvPr id="20211" name="AutoShape 1" hidden="1"/>
        <xdr:cNvSpPr>
          <a:spLocks noChangeAspect="1" noChangeArrowheads="1"/>
        </xdr:cNvSpPr>
      </xdr:nvSpPr>
      <xdr:spPr bwMode="auto">
        <a:xfrm>
          <a:off x="4313208" y="327804"/>
          <a:ext cx="2834063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30</xdr:col>
      <xdr:colOff>741205</xdr:colOff>
      <xdr:row>4</xdr:row>
      <xdr:rowOff>295275</xdr:rowOff>
    </xdr:to>
    <xdr:sp macro="" textlink="">
      <xdr:nvSpPr>
        <xdr:cNvPr id="20212" name="AutoShape 1" hidden="1"/>
        <xdr:cNvSpPr>
          <a:spLocks noChangeAspect="1" noChangeArrowheads="1"/>
        </xdr:cNvSpPr>
      </xdr:nvSpPr>
      <xdr:spPr bwMode="auto">
        <a:xfrm>
          <a:off x="4313208" y="327804"/>
          <a:ext cx="2877705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30</xdr:col>
      <xdr:colOff>810479</xdr:colOff>
      <xdr:row>4</xdr:row>
      <xdr:rowOff>295275</xdr:rowOff>
    </xdr:to>
    <xdr:sp macro="" textlink="">
      <xdr:nvSpPr>
        <xdr:cNvPr id="20213" name="AutoShape 1" hidden="1"/>
        <xdr:cNvSpPr>
          <a:spLocks noChangeAspect="1" noChangeArrowheads="1"/>
        </xdr:cNvSpPr>
      </xdr:nvSpPr>
      <xdr:spPr bwMode="auto">
        <a:xfrm>
          <a:off x="4313208" y="327804"/>
          <a:ext cx="2884632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30</xdr:col>
      <xdr:colOff>764585</xdr:colOff>
      <xdr:row>4</xdr:row>
      <xdr:rowOff>295275</xdr:rowOff>
    </xdr:to>
    <xdr:sp macro="" textlink="">
      <xdr:nvSpPr>
        <xdr:cNvPr id="20214" name="AutoShape 1" hidden="1"/>
        <xdr:cNvSpPr>
          <a:spLocks noChangeAspect="1" noChangeArrowheads="1"/>
        </xdr:cNvSpPr>
      </xdr:nvSpPr>
      <xdr:spPr bwMode="auto">
        <a:xfrm>
          <a:off x="4313208" y="327804"/>
          <a:ext cx="2880043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30</xdr:col>
      <xdr:colOff>547242</xdr:colOff>
      <xdr:row>4</xdr:row>
      <xdr:rowOff>295275</xdr:rowOff>
    </xdr:to>
    <xdr:sp macro="" textlink="">
      <xdr:nvSpPr>
        <xdr:cNvPr id="20215" name="AutoShape 1" hidden="1"/>
        <xdr:cNvSpPr>
          <a:spLocks noChangeAspect="1" noChangeArrowheads="1"/>
        </xdr:cNvSpPr>
      </xdr:nvSpPr>
      <xdr:spPr bwMode="auto">
        <a:xfrm>
          <a:off x="4313208" y="327804"/>
          <a:ext cx="2858309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30</xdr:col>
      <xdr:colOff>522130</xdr:colOff>
      <xdr:row>4</xdr:row>
      <xdr:rowOff>295275</xdr:rowOff>
    </xdr:to>
    <xdr:sp macro="" textlink="">
      <xdr:nvSpPr>
        <xdr:cNvPr id="20216" name="AutoShape 1" hidden="1"/>
        <xdr:cNvSpPr>
          <a:spLocks noChangeAspect="1" noChangeArrowheads="1"/>
        </xdr:cNvSpPr>
      </xdr:nvSpPr>
      <xdr:spPr bwMode="auto">
        <a:xfrm>
          <a:off x="4313208" y="327804"/>
          <a:ext cx="2855797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30</xdr:col>
      <xdr:colOff>741205</xdr:colOff>
      <xdr:row>4</xdr:row>
      <xdr:rowOff>295275</xdr:rowOff>
    </xdr:to>
    <xdr:sp macro="" textlink="">
      <xdr:nvSpPr>
        <xdr:cNvPr id="20217" name="AutoShape 1" hidden="1"/>
        <xdr:cNvSpPr>
          <a:spLocks noChangeAspect="1" noChangeArrowheads="1"/>
        </xdr:cNvSpPr>
      </xdr:nvSpPr>
      <xdr:spPr bwMode="auto">
        <a:xfrm>
          <a:off x="4313208" y="327804"/>
          <a:ext cx="2877705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30</xdr:col>
      <xdr:colOff>810479</xdr:colOff>
      <xdr:row>4</xdr:row>
      <xdr:rowOff>295275</xdr:rowOff>
    </xdr:to>
    <xdr:sp macro="" textlink="">
      <xdr:nvSpPr>
        <xdr:cNvPr id="20218" name="AutoShape 1" hidden="1"/>
        <xdr:cNvSpPr>
          <a:spLocks noChangeAspect="1" noChangeArrowheads="1"/>
        </xdr:cNvSpPr>
      </xdr:nvSpPr>
      <xdr:spPr bwMode="auto">
        <a:xfrm>
          <a:off x="4313208" y="327804"/>
          <a:ext cx="2884632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31</xdr:col>
      <xdr:colOff>556471</xdr:colOff>
      <xdr:row>4</xdr:row>
      <xdr:rowOff>295275</xdr:rowOff>
    </xdr:to>
    <xdr:sp macro="" textlink="">
      <xdr:nvSpPr>
        <xdr:cNvPr id="20219" name="AutoShape 1" hidden="1"/>
        <xdr:cNvSpPr>
          <a:spLocks noChangeAspect="1" noChangeArrowheads="1"/>
        </xdr:cNvSpPr>
      </xdr:nvSpPr>
      <xdr:spPr bwMode="auto">
        <a:xfrm>
          <a:off x="4313208" y="327804"/>
          <a:ext cx="296706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31</xdr:col>
      <xdr:colOff>339128</xdr:colOff>
      <xdr:row>4</xdr:row>
      <xdr:rowOff>295275</xdr:rowOff>
    </xdr:to>
    <xdr:sp macro="" textlink="">
      <xdr:nvSpPr>
        <xdr:cNvPr id="20220" name="AutoShape 1" hidden="1"/>
        <xdr:cNvSpPr>
          <a:spLocks noChangeAspect="1" noChangeArrowheads="1"/>
        </xdr:cNvSpPr>
      </xdr:nvSpPr>
      <xdr:spPr bwMode="auto">
        <a:xfrm>
          <a:off x="4313208" y="327804"/>
          <a:ext cx="2945327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31</xdr:col>
      <xdr:colOff>314016</xdr:colOff>
      <xdr:row>4</xdr:row>
      <xdr:rowOff>295275</xdr:rowOff>
    </xdr:to>
    <xdr:sp macro="" textlink="">
      <xdr:nvSpPr>
        <xdr:cNvPr id="20221" name="AutoShape 1" hidden="1"/>
        <xdr:cNvSpPr>
          <a:spLocks noChangeAspect="1" noChangeArrowheads="1"/>
        </xdr:cNvSpPr>
      </xdr:nvSpPr>
      <xdr:spPr bwMode="auto">
        <a:xfrm>
          <a:off x="4313208" y="327804"/>
          <a:ext cx="2942816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31</xdr:col>
      <xdr:colOff>99548</xdr:colOff>
      <xdr:row>4</xdr:row>
      <xdr:rowOff>295275</xdr:rowOff>
    </xdr:to>
    <xdr:sp macro="" textlink="">
      <xdr:nvSpPr>
        <xdr:cNvPr id="20222" name="AutoShape 1" hidden="1"/>
        <xdr:cNvSpPr>
          <a:spLocks noChangeAspect="1" noChangeArrowheads="1"/>
        </xdr:cNvSpPr>
      </xdr:nvSpPr>
      <xdr:spPr bwMode="auto">
        <a:xfrm>
          <a:off x="4313208" y="327804"/>
          <a:ext cx="2921369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31</xdr:col>
      <xdr:colOff>533091</xdr:colOff>
      <xdr:row>4</xdr:row>
      <xdr:rowOff>295275</xdr:rowOff>
    </xdr:to>
    <xdr:sp macro="" textlink="">
      <xdr:nvSpPr>
        <xdr:cNvPr id="20223" name="AutoShape 1" hidden="1"/>
        <xdr:cNvSpPr>
          <a:spLocks noChangeAspect="1" noChangeArrowheads="1"/>
        </xdr:cNvSpPr>
      </xdr:nvSpPr>
      <xdr:spPr bwMode="auto">
        <a:xfrm>
          <a:off x="4313208" y="327804"/>
          <a:ext cx="2964724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31</xdr:col>
      <xdr:colOff>602365</xdr:colOff>
      <xdr:row>4</xdr:row>
      <xdr:rowOff>295275</xdr:rowOff>
    </xdr:to>
    <xdr:sp macro="" textlink="">
      <xdr:nvSpPr>
        <xdr:cNvPr id="20224" name="AutoShape 1" hidden="1"/>
        <xdr:cNvSpPr>
          <a:spLocks noChangeAspect="1" noChangeArrowheads="1"/>
        </xdr:cNvSpPr>
      </xdr:nvSpPr>
      <xdr:spPr bwMode="auto">
        <a:xfrm>
          <a:off x="4313208" y="327804"/>
          <a:ext cx="2971651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31</xdr:col>
      <xdr:colOff>556471</xdr:colOff>
      <xdr:row>4</xdr:row>
      <xdr:rowOff>295275</xdr:rowOff>
    </xdr:to>
    <xdr:sp macro="" textlink="">
      <xdr:nvSpPr>
        <xdr:cNvPr id="20225" name="AutoShape 1" hidden="1"/>
        <xdr:cNvSpPr>
          <a:spLocks noChangeAspect="1" noChangeArrowheads="1"/>
        </xdr:cNvSpPr>
      </xdr:nvSpPr>
      <xdr:spPr bwMode="auto">
        <a:xfrm>
          <a:off x="4313208" y="327804"/>
          <a:ext cx="296706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31</xdr:col>
      <xdr:colOff>339128</xdr:colOff>
      <xdr:row>4</xdr:row>
      <xdr:rowOff>295275</xdr:rowOff>
    </xdr:to>
    <xdr:sp macro="" textlink="">
      <xdr:nvSpPr>
        <xdr:cNvPr id="20226" name="AutoShape 1" hidden="1"/>
        <xdr:cNvSpPr>
          <a:spLocks noChangeAspect="1" noChangeArrowheads="1"/>
        </xdr:cNvSpPr>
      </xdr:nvSpPr>
      <xdr:spPr bwMode="auto">
        <a:xfrm>
          <a:off x="4313208" y="327804"/>
          <a:ext cx="2945327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31</xdr:col>
      <xdr:colOff>314016</xdr:colOff>
      <xdr:row>4</xdr:row>
      <xdr:rowOff>295275</xdr:rowOff>
    </xdr:to>
    <xdr:sp macro="" textlink="">
      <xdr:nvSpPr>
        <xdr:cNvPr id="20227" name="AutoShape 1" hidden="1"/>
        <xdr:cNvSpPr>
          <a:spLocks noChangeAspect="1" noChangeArrowheads="1"/>
        </xdr:cNvSpPr>
      </xdr:nvSpPr>
      <xdr:spPr bwMode="auto">
        <a:xfrm>
          <a:off x="4313208" y="327804"/>
          <a:ext cx="2942816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31</xdr:col>
      <xdr:colOff>533091</xdr:colOff>
      <xdr:row>4</xdr:row>
      <xdr:rowOff>295275</xdr:rowOff>
    </xdr:to>
    <xdr:sp macro="" textlink="">
      <xdr:nvSpPr>
        <xdr:cNvPr id="20228" name="AutoShape 1" hidden="1"/>
        <xdr:cNvSpPr>
          <a:spLocks noChangeAspect="1" noChangeArrowheads="1"/>
        </xdr:cNvSpPr>
      </xdr:nvSpPr>
      <xdr:spPr bwMode="auto">
        <a:xfrm>
          <a:off x="4313208" y="327804"/>
          <a:ext cx="2964724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31</xdr:col>
      <xdr:colOff>602365</xdr:colOff>
      <xdr:row>4</xdr:row>
      <xdr:rowOff>295275</xdr:rowOff>
    </xdr:to>
    <xdr:sp macro="" textlink="">
      <xdr:nvSpPr>
        <xdr:cNvPr id="20229" name="AutoShape 1" hidden="1"/>
        <xdr:cNvSpPr>
          <a:spLocks noChangeAspect="1" noChangeArrowheads="1"/>
        </xdr:cNvSpPr>
      </xdr:nvSpPr>
      <xdr:spPr bwMode="auto">
        <a:xfrm>
          <a:off x="4313208" y="327804"/>
          <a:ext cx="2971651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32</xdr:col>
      <xdr:colOff>348357</xdr:colOff>
      <xdr:row>4</xdr:row>
      <xdr:rowOff>295275</xdr:rowOff>
    </xdr:to>
    <xdr:sp macro="" textlink="">
      <xdr:nvSpPr>
        <xdr:cNvPr id="20230" name="AutoShape 1" hidden="1"/>
        <xdr:cNvSpPr>
          <a:spLocks noChangeAspect="1" noChangeArrowheads="1"/>
        </xdr:cNvSpPr>
      </xdr:nvSpPr>
      <xdr:spPr bwMode="auto">
        <a:xfrm>
          <a:off x="4313208" y="327804"/>
          <a:ext cx="3054080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32</xdr:col>
      <xdr:colOff>133891</xdr:colOff>
      <xdr:row>4</xdr:row>
      <xdr:rowOff>295275</xdr:rowOff>
    </xdr:to>
    <xdr:sp macro="" textlink="">
      <xdr:nvSpPr>
        <xdr:cNvPr id="20231" name="AutoShape 1" hidden="1"/>
        <xdr:cNvSpPr>
          <a:spLocks noChangeAspect="1" noChangeArrowheads="1"/>
        </xdr:cNvSpPr>
      </xdr:nvSpPr>
      <xdr:spPr bwMode="auto">
        <a:xfrm>
          <a:off x="4313208" y="327804"/>
          <a:ext cx="3032634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32</xdr:col>
      <xdr:colOff>108779</xdr:colOff>
      <xdr:row>4</xdr:row>
      <xdr:rowOff>295275</xdr:rowOff>
    </xdr:to>
    <xdr:sp macro="" textlink="">
      <xdr:nvSpPr>
        <xdr:cNvPr id="20232" name="AutoShape 1" hidden="1"/>
        <xdr:cNvSpPr>
          <a:spLocks noChangeAspect="1" noChangeArrowheads="1"/>
        </xdr:cNvSpPr>
      </xdr:nvSpPr>
      <xdr:spPr bwMode="auto">
        <a:xfrm>
          <a:off x="4313208" y="327804"/>
          <a:ext cx="30301231" cy="493683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31</xdr:col>
      <xdr:colOff>99547</xdr:colOff>
      <xdr:row>4</xdr:row>
      <xdr:rowOff>295275</xdr:rowOff>
    </xdr:to>
    <xdr:sp macro="" textlink="">
      <xdr:nvSpPr>
        <xdr:cNvPr id="20233" name="AutoShape 1" hidden="1"/>
        <xdr:cNvSpPr>
          <a:spLocks noChangeAspect="1" noChangeArrowheads="1"/>
        </xdr:cNvSpPr>
      </xdr:nvSpPr>
      <xdr:spPr bwMode="auto">
        <a:xfrm>
          <a:off x="5391509" y="327804"/>
          <a:ext cx="2813539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32</xdr:col>
      <xdr:colOff>324977</xdr:colOff>
      <xdr:row>4</xdr:row>
      <xdr:rowOff>295275</xdr:rowOff>
    </xdr:to>
    <xdr:sp macro="" textlink="">
      <xdr:nvSpPr>
        <xdr:cNvPr id="20234" name="AutoShape 1" hidden="1"/>
        <xdr:cNvSpPr>
          <a:spLocks noChangeAspect="1" noChangeArrowheads="1"/>
        </xdr:cNvSpPr>
      </xdr:nvSpPr>
      <xdr:spPr bwMode="auto">
        <a:xfrm>
          <a:off x="4313208" y="327804"/>
          <a:ext cx="3051742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32</xdr:col>
      <xdr:colOff>394251</xdr:colOff>
      <xdr:row>4</xdr:row>
      <xdr:rowOff>295275</xdr:rowOff>
    </xdr:to>
    <xdr:sp macro="" textlink="">
      <xdr:nvSpPr>
        <xdr:cNvPr id="20235" name="AutoShape 1" hidden="1"/>
        <xdr:cNvSpPr>
          <a:spLocks noChangeAspect="1" noChangeArrowheads="1"/>
        </xdr:cNvSpPr>
      </xdr:nvSpPr>
      <xdr:spPr bwMode="auto">
        <a:xfrm>
          <a:off x="4313208" y="327804"/>
          <a:ext cx="3058670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32</xdr:col>
      <xdr:colOff>348357</xdr:colOff>
      <xdr:row>4</xdr:row>
      <xdr:rowOff>295275</xdr:rowOff>
    </xdr:to>
    <xdr:sp macro="" textlink="">
      <xdr:nvSpPr>
        <xdr:cNvPr id="20236" name="AutoShape 1" hidden="1"/>
        <xdr:cNvSpPr>
          <a:spLocks noChangeAspect="1" noChangeArrowheads="1"/>
        </xdr:cNvSpPr>
      </xdr:nvSpPr>
      <xdr:spPr bwMode="auto">
        <a:xfrm>
          <a:off x="4313208" y="327804"/>
          <a:ext cx="3054080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32</xdr:col>
      <xdr:colOff>133891</xdr:colOff>
      <xdr:row>4</xdr:row>
      <xdr:rowOff>295275</xdr:rowOff>
    </xdr:to>
    <xdr:sp macro="" textlink="">
      <xdr:nvSpPr>
        <xdr:cNvPr id="20237" name="AutoShape 1" hidden="1"/>
        <xdr:cNvSpPr>
          <a:spLocks noChangeAspect="1" noChangeArrowheads="1"/>
        </xdr:cNvSpPr>
      </xdr:nvSpPr>
      <xdr:spPr bwMode="auto">
        <a:xfrm>
          <a:off x="4313208" y="327804"/>
          <a:ext cx="3032634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32</xdr:col>
      <xdr:colOff>108779</xdr:colOff>
      <xdr:row>4</xdr:row>
      <xdr:rowOff>295275</xdr:rowOff>
    </xdr:to>
    <xdr:sp macro="" textlink="">
      <xdr:nvSpPr>
        <xdr:cNvPr id="20238" name="AutoShape 1" hidden="1"/>
        <xdr:cNvSpPr>
          <a:spLocks noChangeAspect="1" noChangeArrowheads="1"/>
        </xdr:cNvSpPr>
      </xdr:nvSpPr>
      <xdr:spPr bwMode="auto">
        <a:xfrm>
          <a:off x="4313208" y="327804"/>
          <a:ext cx="303012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32</xdr:col>
      <xdr:colOff>324977</xdr:colOff>
      <xdr:row>4</xdr:row>
      <xdr:rowOff>295275</xdr:rowOff>
    </xdr:to>
    <xdr:sp macro="" textlink="">
      <xdr:nvSpPr>
        <xdr:cNvPr id="20239" name="AutoShape 1" hidden="1"/>
        <xdr:cNvSpPr>
          <a:spLocks noChangeAspect="1" noChangeArrowheads="1"/>
        </xdr:cNvSpPr>
      </xdr:nvSpPr>
      <xdr:spPr bwMode="auto">
        <a:xfrm>
          <a:off x="4313208" y="327804"/>
          <a:ext cx="3051742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32</xdr:col>
      <xdr:colOff>394251</xdr:colOff>
      <xdr:row>4</xdr:row>
      <xdr:rowOff>295275</xdr:rowOff>
    </xdr:to>
    <xdr:sp macro="" textlink="">
      <xdr:nvSpPr>
        <xdr:cNvPr id="20240" name="AutoShape 1" hidden="1"/>
        <xdr:cNvSpPr>
          <a:spLocks noChangeAspect="1" noChangeArrowheads="1"/>
        </xdr:cNvSpPr>
      </xdr:nvSpPr>
      <xdr:spPr bwMode="auto">
        <a:xfrm>
          <a:off x="4313208" y="327804"/>
          <a:ext cx="3058670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33</xdr:col>
      <xdr:colOff>143120</xdr:colOff>
      <xdr:row>4</xdr:row>
      <xdr:rowOff>295275</xdr:rowOff>
    </xdr:to>
    <xdr:sp macro="" textlink="">
      <xdr:nvSpPr>
        <xdr:cNvPr id="20241" name="AutoShape 1" hidden="1"/>
        <xdr:cNvSpPr>
          <a:spLocks noChangeAspect="1" noChangeArrowheads="1"/>
        </xdr:cNvSpPr>
      </xdr:nvSpPr>
      <xdr:spPr bwMode="auto">
        <a:xfrm>
          <a:off x="4313208" y="327804"/>
          <a:ext cx="3141387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32</xdr:col>
      <xdr:colOff>1075966</xdr:colOff>
      <xdr:row>4</xdr:row>
      <xdr:rowOff>295275</xdr:rowOff>
    </xdr:to>
    <xdr:sp macro="" textlink="">
      <xdr:nvSpPr>
        <xdr:cNvPr id="20242" name="AutoShape 1" hidden="1"/>
        <xdr:cNvSpPr>
          <a:spLocks noChangeAspect="1" noChangeArrowheads="1"/>
        </xdr:cNvSpPr>
      </xdr:nvSpPr>
      <xdr:spPr bwMode="auto">
        <a:xfrm>
          <a:off x="4313208" y="327804"/>
          <a:ext cx="3126841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32</xdr:col>
      <xdr:colOff>1050854</xdr:colOff>
      <xdr:row>4</xdr:row>
      <xdr:rowOff>295275</xdr:rowOff>
    </xdr:to>
    <xdr:sp macro="" textlink="">
      <xdr:nvSpPr>
        <xdr:cNvPr id="20243" name="AutoShape 1" hidden="1"/>
        <xdr:cNvSpPr>
          <a:spLocks noChangeAspect="1" noChangeArrowheads="1"/>
        </xdr:cNvSpPr>
      </xdr:nvSpPr>
      <xdr:spPr bwMode="auto">
        <a:xfrm>
          <a:off x="4313208" y="327804"/>
          <a:ext cx="31243306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31</xdr:col>
      <xdr:colOff>99545</xdr:colOff>
      <xdr:row>4</xdr:row>
      <xdr:rowOff>295275</xdr:rowOff>
    </xdr:to>
    <xdr:sp macro="" textlink="">
      <xdr:nvSpPr>
        <xdr:cNvPr id="20244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8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33</xdr:col>
      <xdr:colOff>119740</xdr:colOff>
      <xdr:row>4</xdr:row>
      <xdr:rowOff>295275</xdr:rowOff>
    </xdr:to>
    <xdr:sp macro="" textlink="">
      <xdr:nvSpPr>
        <xdr:cNvPr id="20245" name="AutoShape 1" hidden="1"/>
        <xdr:cNvSpPr>
          <a:spLocks noChangeAspect="1" noChangeArrowheads="1"/>
        </xdr:cNvSpPr>
      </xdr:nvSpPr>
      <xdr:spPr bwMode="auto">
        <a:xfrm>
          <a:off x="4313208" y="327804"/>
          <a:ext cx="313904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33</xdr:col>
      <xdr:colOff>186140</xdr:colOff>
      <xdr:row>4</xdr:row>
      <xdr:rowOff>295275</xdr:rowOff>
    </xdr:to>
    <xdr:sp macro="" textlink="">
      <xdr:nvSpPr>
        <xdr:cNvPr id="20246" name="AutoShape 1" hidden="1"/>
        <xdr:cNvSpPr>
          <a:spLocks noChangeAspect="1" noChangeArrowheads="1"/>
        </xdr:cNvSpPr>
      </xdr:nvSpPr>
      <xdr:spPr bwMode="auto">
        <a:xfrm>
          <a:off x="4313208" y="327804"/>
          <a:ext cx="314568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33</xdr:col>
      <xdr:colOff>143120</xdr:colOff>
      <xdr:row>4</xdr:row>
      <xdr:rowOff>295275</xdr:rowOff>
    </xdr:to>
    <xdr:sp macro="" textlink="">
      <xdr:nvSpPr>
        <xdr:cNvPr id="20247" name="AutoShape 1" hidden="1"/>
        <xdr:cNvSpPr>
          <a:spLocks noChangeAspect="1" noChangeArrowheads="1"/>
        </xdr:cNvSpPr>
      </xdr:nvSpPr>
      <xdr:spPr bwMode="auto">
        <a:xfrm>
          <a:off x="4313208" y="327804"/>
          <a:ext cx="3141387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32</xdr:col>
      <xdr:colOff>1075966</xdr:colOff>
      <xdr:row>4</xdr:row>
      <xdr:rowOff>295275</xdr:rowOff>
    </xdr:to>
    <xdr:sp macro="" textlink="">
      <xdr:nvSpPr>
        <xdr:cNvPr id="20248" name="AutoShape 1" hidden="1"/>
        <xdr:cNvSpPr>
          <a:spLocks noChangeAspect="1" noChangeArrowheads="1"/>
        </xdr:cNvSpPr>
      </xdr:nvSpPr>
      <xdr:spPr bwMode="auto">
        <a:xfrm>
          <a:off x="4313208" y="327804"/>
          <a:ext cx="3126841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32</xdr:col>
      <xdr:colOff>1050854</xdr:colOff>
      <xdr:row>4</xdr:row>
      <xdr:rowOff>295275</xdr:rowOff>
    </xdr:to>
    <xdr:sp macro="" textlink="">
      <xdr:nvSpPr>
        <xdr:cNvPr id="20249" name="AutoShape 1" hidden="1"/>
        <xdr:cNvSpPr>
          <a:spLocks noChangeAspect="1" noChangeArrowheads="1"/>
        </xdr:cNvSpPr>
      </xdr:nvSpPr>
      <xdr:spPr bwMode="auto">
        <a:xfrm>
          <a:off x="4313208" y="327804"/>
          <a:ext cx="3124330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33</xdr:col>
      <xdr:colOff>119740</xdr:colOff>
      <xdr:row>4</xdr:row>
      <xdr:rowOff>295275</xdr:rowOff>
    </xdr:to>
    <xdr:sp macro="" textlink="">
      <xdr:nvSpPr>
        <xdr:cNvPr id="20250" name="AutoShape 1" hidden="1"/>
        <xdr:cNvSpPr>
          <a:spLocks noChangeAspect="1" noChangeArrowheads="1"/>
        </xdr:cNvSpPr>
      </xdr:nvSpPr>
      <xdr:spPr bwMode="auto">
        <a:xfrm>
          <a:off x="4313208" y="327804"/>
          <a:ext cx="313904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33</xdr:col>
      <xdr:colOff>186140</xdr:colOff>
      <xdr:row>4</xdr:row>
      <xdr:rowOff>295275</xdr:rowOff>
    </xdr:to>
    <xdr:sp macro="" textlink="">
      <xdr:nvSpPr>
        <xdr:cNvPr id="20251" name="AutoShape 1" hidden="1"/>
        <xdr:cNvSpPr>
          <a:spLocks noChangeAspect="1" noChangeArrowheads="1"/>
        </xdr:cNvSpPr>
      </xdr:nvSpPr>
      <xdr:spPr bwMode="auto">
        <a:xfrm>
          <a:off x="4313208" y="327804"/>
          <a:ext cx="314568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33</xdr:col>
      <xdr:colOff>1085197</xdr:colOff>
      <xdr:row>4</xdr:row>
      <xdr:rowOff>295275</xdr:rowOff>
    </xdr:to>
    <xdr:sp macro="" textlink="">
      <xdr:nvSpPr>
        <xdr:cNvPr id="20252" name="AutoShape 1" hidden="1"/>
        <xdr:cNvSpPr>
          <a:spLocks noChangeAspect="1" noChangeArrowheads="1"/>
        </xdr:cNvSpPr>
      </xdr:nvSpPr>
      <xdr:spPr bwMode="auto">
        <a:xfrm>
          <a:off x="4313208" y="327804"/>
          <a:ext cx="323473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33</xdr:col>
      <xdr:colOff>867854</xdr:colOff>
      <xdr:row>4</xdr:row>
      <xdr:rowOff>295275</xdr:rowOff>
    </xdr:to>
    <xdr:sp macro="" textlink="">
      <xdr:nvSpPr>
        <xdr:cNvPr id="20253" name="AutoShape 1" hidden="1"/>
        <xdr:cNvSpPr>
          <a:spLocks noChangeAspect="1" noChangeArrowheads="1"/>
        </xdr:cNvSpPr>
      </xdr:nvSpPr>
      <xdr:spPr bwMode="auto">
        <a:xfrm>
          <a:off x="4313208" y="327804"/>
          <a:ext cx="3213860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33</xdr:col>
      <xdr:colOff>842742</xdr:colOff>
      <xdr:row>4</xdr:row>
      <xdr:rowOff>295275</xdr:rowOff>
    </xdr:to>
    <xdr:sp macro="" textlink="">
      <xdr:nvSpPr>
        <xdr:cNvPr id="20254" name="AutoShape 1" hidden="1"/>
        <xdr:cNvSpPr>
          <a:spLocks noChangeAspect="1" noChangeArrowheads="1"/>
        </xdr:cNvSpPr>
      </xdr:nvSpPr>
      <xdr:spPr bwMode="auto">
        <a:xfrm>
          <a:off x="4313208" y="327804"/>
          <a:ext cx="32113496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31</xdr:col>
      <xdr:colOff>99547</xdr:colOff>
      <xdr:row>4</xdr:row>
      <xdr:rowOff>295275</xdr:rowOff>
    </xdr:to>
    <xdr:sp macro="" textlink="">
      <xdr:nvSpPr>
        <xdr:cNvPr id="20255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33</xdr:col>
      <xdr:colOff>1061817</xdr:colOff>
      <xdr:row>4</xdr:row>
      <xdr:rowOff>295275</xdr:rowOff>
    </xdr:to>
    <xdr:sp macro="" textlink="">
      <xdr:nvSpPr>
        <xdr:cNvPr id="20256" name="AutoShape 1" hidden="1"/>
        <xdr:cNvSpPr>
          <a:spLocks noChangeAspect="1" noChangeArrowheads="1"/>
        </xdr:cNvSpPr>
      </xdr:nvSpPr>
      <xdr:spPr bwMode="auto">
        <a:xfrm>
          <a:off x="4313208" y="327804"/>
          <a:ext cx="3233257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33</xdr:col>
      <xdr:colOff>1131091</xdr:colOff>
      <xdr:row>4</xdr:row>
      <xdr:rowOff>295275</xdr:rowOff>
    </xdr:to>
    <xdr:sp macro="" textlink="">
      <xdr:nvSpPr>
        <xdr:cNvPr id="20257" name="AutoShape 1" hidden="1"/>
        <xdr:cNvSpPr>
          <a:spLocks noChangeAspect="1" noChangeArrowheads="1"/>
        </xdr:cNvSpPr>
      </xdr:nvSpPr>
      <xdr:spPr bwMode="auto">
        <a:xfrm>
          <a:off x="4313208" y="327804"/>
          <a:ext cx="323500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33</xdr:col>
      <xdr:colOff>1085197</xdr:colOff>
      <xdr:row>4</xdr:row>
      <xdr:rowOff>295275</xdr:rowOff>
    </xdr:to>
    <xdr:sp macro="" textlink="">
      <xdr:nvSpPr>
        <xdr:cNvPr id="20258" name="AutoShape 1" hidden="1"/>
        <xdr:cNvSpPr>
          <a:spLocks noChangeAspect="1" noChangeArrowheads="1"/>
        </xdr:cNvSpPr>
      </xdr:nvSpPr>
      <xdr:spPr bwMode="auto">
        <a:xfrm>
          <a:off x="4313208" y="327804"/>
          <a:ext cx="323473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33</xdr:col>
      <xdr:colOff>867854</xdr:colOff>
      <xdr:row>4</xdr:row>
      <xdr:rowOff>295275</xdr:rowOff>
    </xdr:to>
    <xdr:sp macro="" textlink="">
      <xdr:nvSpPr>
        <xdr:cNvPr id="20259" name="AutoShape 1" hidden="1"/>
        <xdr:cNvSpPr>
          <a:spLocks noChangeAspect="1" noChangeArrowheads="1"/>
        </xdr:cNvSpPr>
      </xdr:nvSpPr>
      <xdr:spPr bwMode="auto">
        <a:xfrm>
          <a:off x="4313208" y="327804"/>
          <a:ext cx="3213860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33</xdr:col>
      <xdr:colOff>842742</xdr:colOff>
      <xdr:row>4</xdr:row>
      <xdr:rowOff>295275</xdr:rowOff>
    </xdr:to>
    <xdr:sp macro="" textlink="">
      <xdr:nvSpPr>
        <xdr:cNvPr id="20260" name="AutoShape 1" hidden="1"/>
        <xdr:cNvSpPr>
          <a:spLocks noChangeAspect="1" noChangeArrowheads="1"/>
        </xdr:cNvSpPr>
      </xdr:nvSpPr>
      <xdr:spPr bwMode="auto">
        <a:xfrm>
          <a:off x="4313208" y="327804"/>
          <a:ext cx="3211349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33</xdr:col>
      <xdr:colOff>1061817</xdr:colOff>
      <xdr:row>4</xdr:row>
      <xdr:rowOff>295275</xdr:rowOff>
    </xdr:to>
    <xdr:sp macro="" textlink="">
      <xdr:nvSpPr>
        <xdr:cNvPr id="20261" name="AutoShape 1" hidden="1"/>
        <xdr:cNvSpPr>
          <a:spLocks noChangeAspect="1" noChangeArrowheads="1"/>
        </xdr:cNvSpPr>
      </xdr:nvSpPr>
      <xdr:spPr bwMode="auto">
        <a:xfrm>
          <a:off x="4313208" y="327804"/>
          <a:ext cx="3233257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33</xdr:col>
      <xdr:colOff>1131091</xdr:colOff>
      <xdr:row>4</xdr:row>
      <xdr:rowOff>295275</xdr:rowOff>
    </xdr:to>
    <xdr:sp macro="" textlink="">
      <xdr:nvSpPr>
        <xdr:cNvPr id="20262" name="AutoShape 1" hidden="1"/>
        <xdr:cNvSpPr>
          <a:spLocks noChangeAspect="1" noChangeArrowheads="1"/>
        </xdr:cNvSpPr>
      </xdr:nvSpPr>
      <xdr:spPr bwMode="auto">
        <a:xfrm>
          <a:off x="4313208" y="327804"/>
          <a:ext cx="323500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34</xdr:col>
      <xdr:colOff>877086</xdr:colOff>
      <xdr:row>4</xdr:row>
      <xdr:rowOff>295275</xdr:rowOff>
    </xdr:to>
    <xdr:sp macro="" textlink="">
      <xdr:nvSpPr>
        <xdr:cNvPr id="20263" name="AutoShape 1" hidden="1"/>
        <xdr:cNvSpPr>
          <a:spLocks noChangeAspect="1" noChangeArrowheads="1"/>
        </xdr:cNvSpPr>
      </xdr:nvSpPr>
      <xdr:spPr bwMode="auto">
        <a:xfrm>
          <a:off x="4313208" y="327804"/>
          <a:ext cx="3322614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34</xdr:col>
      <xdr:colOff>659743</xdr:colOff>
      <xdr:row>4</xdr:row>
      <xdr:rowOff>295275</xdr:rowOff>
    </xdr:to>
    <xdr:sp macro="" textlink="">
      <xdr:nvSpPr>
        <xdr:cNvPr id="20264" name="AutoShape 1" hidden="1"/>
        <xdr:cNvSpPr>
          <a:spLocks noChangeAspect="1" noChangeArrowheads="1"/>
        </xdr:cNvSpPr>
      </xdr:nvSpPr>
      <xdr:spPr bwMode="auto">
        <a:xfrm>
          <a:off x="4313208" y="327804"/>
          <a:ext cx="330087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34</xdr:col>
      <xdr:colOff>634631</xdr:colOff>
      <xdr:row>4</xdr:row>
      <xdr:rowOff>295275</xdr:rowOff>
    </xdr:to>
    <xdr:sp macro="" textlink="">
      <xdr:nvSpPr>
        <xdr:cNvPr id="20265" name="AutoShape 1" hidden="1"/>
        <xdr:cNvSpPr>
          <a:spLocks noChangeAspect="1" noChangeArrowheads="1"/>
        </xdr:cNvSpPr>
      </xdr:nvSpPr>
      <xdr:spPr bwMode="auto">
        <a:xfrm>
          <a:off x="4313208" y="327804"/>
          <a:ext cx="32983687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31</xdr:col>
      <xdr:colOff>99547</xdr:colOff>
      <xdr:row>4</xdr:row>
      <xdr:rowOff>295275</xdr:rowOff>
    </xdr:to>
    <xdr:sp macro="" textlink="">
      <xdr:nvSpPr>
        <xdr:cNvPr id="20266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34</xdr:col>
      <xdr:colOff>853706</xdr:colOff>
      <xdr:row>4</xdr:row>
      <xdr:rowOff>295275</xdr:rowOff>
    </xdr:to>
    <xdr:sp macro="" textlink="">
      <xdr:nvSpPr>
        <xdr:cNvPr id="20267" name="AutoShape 1" hidden="1"/>
        <xdr:cNvSpPr>
          <a:spLocks noChangeAspect="1" noChangeArrowheads="1"/>
        </xdr:cNvSpPr>
      </xdr:nvSpPr>
      <xdr:spPr bwMode="auto">
        <a:xfrm>
          <a:off x="4313208" y="327804"/>
          <a:ext cx="3320276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34</xdr:col>
      <xdr:colOff>922980</xdr:colOff>
      <xdr:row>4</xdr:row>
      <xdr:rowOff>295275</xdr:rowOff>
    </xdr:to>
    <xdr:sp macro="" textlink="">
      <xdr:nvSpPr>
        <xdr:cNvPr id="20268" name="AutoShape 1" hidden="1"/>
        <xdr:cNvSpPr>
          <a:spLocks noChangeAspect="1" noChangeArrowheads="1"/>
        </xdr:cNvSpPr>
      </xdr:nvSpPr>
      <xdr:spPr bwMode="auto">
        <a:xfrm>
          <a:off x="4313208" y="327804"/>
          <a:ext cx="3327203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34</xdr:col>
      <xdr:colOff>877086</xdr:colOff>
      <xdr:row>4</xdr:row>
      <xdr:rowOff>295275</xdr:rowOff>
    </xdr:to>
    <xdr:sp macro="" textlink="">
      <xdr:nvSpPr>
        <xdr:cNvPr id="20269" name="AutoShape 1" hidden="1"/>
        <xdr:cNvSpPr>
          <a:spLocks noChangeAspect="1" noChangeArrowheads="1"/>
        </xdr:cNvSpPr>
      </xdr:nvSpPr>
      <xdr:spPr bwMode="auto">
        <a:xfrm>
          <a:off x="4313208" y="327804"/>
          <a:ext cx="3322614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34</xdr:col>
      <xdr:colOff>659743</xdr:colOff>
      <xdr:row>4</xdr:row>
      <xdr:rowOff>295275</xdr:rowOff>
    </xdr:to>
    <xdr:sp macro="" textlink="">
      <xdr:nvSpPr>
        <xdr:cNvPr id="20270" name="AutoShape 1" hidden="1"/>
        <xdr:cNvSpPr>
          <a:spLocks noChangeAspect="1" noChangeArrowheads="1"/>
        </xdr:cNvSpPr>
      </xdr:nvSpPr>
      <xdr:spPr bwMode="auto">
        <a:xfrm>
          <a:off x="4313208" y="327804"/>
          <a:ext cx="330087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34</xdr:col>
      <xdr:colOff>634631</xdr:colOff>
      <xdr:row>4</xdr:row>
      <xdr:rowOff>295275</xdr:rowOff>
    </xdr:to>
    <xdr:sp macro="" textlink="">
      <xdr:nvSpPr>
        <xdr:cNvPr id="20271" name="AutoShape 1" hidden="1"/>
        <xdr:cNvSpPr>
          <a:spLocks noChangeAspect="1" noChangeArrowheads="1"/>
        </xdr:cNvSpPr>
      </xdr:nvSpPr>
      <xdr:spPr bwMode="auto">
        <a:xfrm>
          <a:off x="4313208" y="327804"/>
          <a:ext cx="32983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34</xdr:col>
      <xdr:colOff>853706</xdr:colOff>
      <xdr:row>4</xdr:row>
      <xdr:rowOff>295275</xdr:rowOff>
    </xdr:to>
    <xdr:sp macro="" textlink="">
      <xdr:nvSpPr>
        <xdr:cNvPr id="20272" name="AutoShape 1" hidden="1"/>
        <xdr:cNvSpPr>
          <a:spLocks noChangeAspect="1" noChangeArrowheads="1"/>
        </xdr:cNvSpPr>
      </xdr:nvSpPr>
      <xdr:spPr bwMode="auto">
        <a:xfrm>
          <a:off x="4313208" y="327804"/>
          <a:ext cx="3320276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34</xdr:col>
      <xdr:colOff>922980</xdr:colOff>
      <xdr:row>4</xdr:row>
      <xdr:rowOff>295275</xdr:rowOff>
    </xdr:to>
    <xdr:sp macro="" textlink="">
      <xdr:nvSpPr>
        <xdr:cNvPr id="20273" name="AutoShape 1" hidden="1"/>
        <xdr:cNvSpPr>
          <a:spLocks noChangeAspect="1" noChangeArrowheads="1"/>
        </xdr:cNvSpPr>
      </xdr:nvSpPr>
      <xdr:spPr bwMode="auto">
        <a:xfrm>
          <a:off x="4313208" y="327804"/>
          <a:ext cx="3327203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35</xdr:col>
      <xdr:colOff>668974</xdr:colOff>
      <xdr:row>4</xdr:row>
      <xdr:rowOff>295275</xdr:rowOff>
    </xdr:to>
    <xdr:sp macro="" textlink="">
      <xdr:nvSpPr>
        <xdr:cNvPr id="20274" name="AutoShape 1" hidden="1"/>
        <xdr:cNvSpPr>
          <a:spLocks noChangeAspect="1" noChangeArrowheads="1"/>
        </xdr:cNvSpPr>
      </xdr:nvSpPr>
      <xdr:spPr bwMode="auto">
        <a:xfrm>
          <a:off x="4313208" y="327804"/>
          <a:ext cx="3409633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35</xdr:col>
      <xdr:colOff>421079</xdr:colOff>
      <xdr:row>4</xdr:row>
      <xdr:rowOff>295275</xdr:rowOff>
    </xdr:to>
    <xdr:sp macro="" textlink="">
      <xdr:nvSpPr>
        <xdr:cNvPr id="20275" name="AutoShape 1" hidden="1"/>
        <xdr:cNvSpPr>
          <a:spLocks noChangeAspect="1" noChangeArrowheads="1"/>
        </xdr:cNvSpPr>
      </xdr:nvSpPr>
      <xdr:spPr bwMode="auto">
        <a:xfrm>
          <a:off x="4313208" y="327804"/>
          <a:ext cx="338484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35</xdr:col>
      <xdr:colOff>395967</xdr:colOff>
      <xdr:row>4</xdr:row>
      <xdr:rowOff>295275</xdr:rowOff>
    </xdr:to>
    <xdr:sp macro="" textlink="">
      <xdr:nvSpPr>
        <xdr:cNvPr id="20276" name="AutoShape 1" hidden="1"/>
        <xdr:cNvSpPr>
          <a:spLocks noChangeAspect="1" noChangeArrowheads="1"/>
        </xdr:cNvSpPr>
      </xdr:nvSpPr>
      <xdr:spPr bwMode="auto">
        <a:xfrm>
          <a:off x="4313208" y="327804"/>
          <a:ext cx="33823325" cy="493683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31</xdr:col>
      <xdr:colOff>99548</xdr:colOff>
      <xdr:row>4</xdr:row>
      <xdr:rowOff>295275</xdr:rowOff>
    </xdr:to>
    <xdr:sp macro="" textlink="">
      <xdr:nvSpPr>
        <xdr:cNvPr id="20277" name="AutoShape 1" hidden="1"/>
        <xdr:cNvSpPr>
          <a:spLocks noChangeAspect="1" noChangeArrowheads="1"/>
        </xdr:cNvSpPr>
      </xdr:nvSpPr>
      <xdr:spPr bwMode="auto">
        <a:xfrm>
          <a:off x="9704717" y="327804"/>
          <a:ext cx="238221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35</xdr:col>
      <xdr:colOff>645594</xdr:colOff>
      <xdr:row>4</xdr:row>
      <xdr:rowOff>295275</xdr:rowOff>
    </xdr:to>
    <xdr:sp macro="" textlink="">
      <xdr:nvSpPr>
        <xdr:cNvPr id="20278" name="AutoShape 1" hidden="1"/>
        <xdr:cNvSpPr>
          <a:spLocks noChangeAspect="1" noChangeArrowheads="1"/>
        </xdr:cNvSpPr>
      </xdr:nvSpPr>
      <xdr:spPr bwMode="auto">
        <a:xfrm>
          <a:off x="4313208" y="327804"/>
          <a:ext cx="340729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35</xdr:col>
      <xdr:colOff>714868</xdr:colOff>
      <xdr:row>4</xdr:row>
      <xdr:rowOff>295275</xdr:rowOff>
    </xdr:to>
    <xdr:sp macro="" textlink="">
      <xdr:nvSpPr>
        <xdr:cNvPr id="20279" name="AutoShape 1" hidden="1"/>
        <xdr:cNvSpPr>
          <a:spLocks noChangeAspect="1" noChangeArrowheads="1"/>
        </xdr:cNvSpPr>
      </xdr:nvSpPr>
      <xdr:spPr bwMode="auto">
        <a:xfrm>
          <a:off x="4313208" y="327804"/>
          <a:ext cx="3414222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35</xdr:col>
      <xdr:colOff>668974</xdr:colOff>
      <xdr:row>4</xdr:row>
      <xdr:rowOff>295275</xdr:rowOff>
    </xdr:to>
    <xdr:sp macro="" textlink="">
      <xdr:nvSpPr>
        <xdr:cNvPr id="20280" name="AutoShape 1" hidden="1"/>
        <xdr:cNvSpPr>
          <a:spLocks noChangeAspect="1" noChangeArrowheads="1"/>
        </xdr:cNvSpPr>
      </xdr:nvSpPr>
      <xdr:spPr bwMode="auto">
        <a:xfrm>
          <a:off x="4313208" y="327804"/>
          <a:ext cx="3409633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35</xdr:col>
      <xdr:colOff>421079</xdr:colOff>
      <xdr:row>4</xdr:row>
      <xdr:rowOff>295275</xdr:rowOff>
    </xdr:to>
    <xdr:sp macro="" textlink="">
      <xdr:nvSpPr>
        <xdr:cNvPr id="20281" name="AutoShape 1" hidden="1"/>
        <xdr:cNvSpPr>
          <a:spLocks noChangeAspect="1" noChangeArrowheads="1"/>
        </xdr:cNvSpPr>
      </xdr:nvSpPr>
      <xdr:spPr bwMode="auto">
        <a:xfrm>
          <a:off x="4313208" y="327804"/>
          <a:ext cx="338484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35</xdr:col>
      <xdr:colOff>395967</xdr:colOff>
      <xdr:row>4</xdr:row>
      <xdr:rowOff>295275</xdr:rowOff>
    </xdr:to>
    <xdr:sp macro="" textlink="">
      <xdr:nvSpPr>
        <xdr:cNvPr id="20282" name="AutoShape 1" hidden="1"/>
        <xdr:cNvSpPr>
          <a:spLocks noChangeAspect="1" noChangeArrowheads="1"/>
        </xdr:cNvSpPr>
      </xdr:nvSpPr>
      <xdr:spPr bwMode="auto">
        <a:xfrm>
          <a:off x="4313208" y="327804"/>
          <a:ext cx="338233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35</xdr:col>
      <xdr:colOff>645594</xdr:colOff>
      <xdr:row>4</xdr:row>
      <xdr:rowOff>295275</xdr:rowOff>
    </xdr:to>
    <xdr:sp macro="" textlink="">
      <xdr:nvSpPr>
        <xdr:cNvPr id="20283" name="AutoShape 1" hidden="1"/>
        <xdr:cNvSpPr>
          <a:spLocks noChangeAspect="1" noChangeArrowheads="1"/>
        </xdr:cNvSpPr>
      </xdr:nvSpPr>
      <xdr:spPr bwMode="auto">
        <a:xfrm>
          <a:off x="4313208" y="327804"/>
          <a:ext cx="340729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35</xdr:col>
      <xdr:colOff>714868</xdr:colOff>
      <xdr:row>4</xdr:row>
      <xdr:rowOff>295275</xdr:rowOff>
    </xdr:to>
    <xdr:sp macro="" textlink="">
      <xdr:nvSpPr>
        <xdr:cNvPr id="20284" name="AutoShape 1" hidden="1"/>
        <xdr:cNvSpPr>
          <a:spLocks noChangeAspect="1" noChangeArrowheads="1"/>
        </xdr:cNvSpPr>
      </xdr:nvSpPr>
      <xdr:spPr bwMode="auto">
        <a:xfrm>
          <a:off x="4313208" y="327804"/>
          <a:ext cx="3414222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36</xdr:col>
      <xdr:colOff>460862</xdr:colOff>
      <xdr:row>4</xdr:row>
      <xdr:rowOff>295275</xdr:rowOff>
    </xdr:to>
    <xdr:sp macro="" textlink="">
      <xdr:nvSpPr>
        <xdr:cNvPr id="20285" name="AutoShape 1" hidden="1"/>
        <xdr:cNvSpPr>
          <a:spLocks noChangeAspect="1" noChangeArrowheads="1"/>
        </xdr:cNvSpPr>
      </xdr:nvSpPr>
      <xdr:spPr bwMode="auto">
        <a:xfrm>
          <a:off x="4313208" y="327804"/>
          <a:ext cx="3496652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36</xdr:col>
      <xdr:colOff>215841</xdr:colOff>
      <xdr:row>4</xdr:row>
      <xdr:rowOff>295275</xdr:rowOff>
    </xdr:to>
    <xdr:sp macro="" textlink="">
      <xdr:nvSpPr>
        <xdr:cNvPr id="20286" name="AutoShape 1" hidden="1"/>
        <xdr:cNvSpPr>
          <a:spLocks noChangeAspect="1" noChangeArrowheads="1"/>
        </xdr:cNvSpPr>
      </xdr:nvSpPr>
      <xdr:spPr bwMode="auto">
        <a:xfrm>
          <a:off x="4313208" y="327804"/>
          <a:ext cx="347215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36</xdr:col>
      <xdr:colOff>190729</xdr:colOff>
      <xdr:row>4</xdr:row>
      <xdr:rowOff>295275</xdr:rowOff>
    </xdr:to>
    <xdr:sp macro="" textlink="">
      <xdr:nvSpPr>
        <xdr:cNvPr id="20287" name="AutoShape 1" hidden="1"/>
        <xdr:cNvSpPr>
          <a:spLocks noChangeAspect="1" noChangeArrowheads="1"/>
        </xdr:cNvSpPr>
      </xdr:nvSpPr>
      <xdr:spPr bwMode="auto">
        <a:xfrm>
          <a:off x="4313208" y="327804"/>
          <a:ext cx="34696389" cy="493683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31</xdr:col>
      <xdr:colOff>99548</xdr:colOff>
      <xdr:row>4</xdr:row>
      <xdr:rowOff>295275</xdr:rowOff>
    </xdr:to>
    <xdr:sp macro="" textlink="">
      <xdr:nvSpPr>
        <xdr:cNvPr id="20288" name="AutoShape 1" hidden="1"/>
        <xdr:cNvSpPr>
          <a:spLocks noChangeAspect="1" noChangeArrowheads="1"/>
        </xdr:cNvSpPr>
      </xdr:nvSpPr>
      <xdr:spPr bwMode="auto">
        <a:xfrm>
          <a:off x="10783019" y="327804"/>
          <a:ext cx="227438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36</xdr:col>
      <xdr:colOff>437482</xdr:colOff>
      <xdr:row>4</xdr:row>
      <xdr:rowOff>295275</xdr:rowOff>
    </xdr:to>
    <xdr:sp macro="" textlink="">
      <xdr:nvSpPr>
        <xdr:cNvPr id="20289" name="AutoShape 1" hidden="1"/>
        <xdr:cNvSpPr>
          <a:spLocks noChangeAspect="1" noChangeArrowheads="1"/>
        </xdr:cNvSpPr>
      </xdr:nvSpPr>
      <xdr:spPr bwMode="auto">
        <a:xfrm>
          <a:off x="4313208" y="327804"/>
          <a:ext cx="3494314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36</xdr:col>
      <xdr:colOff>506756</xdr:colOff>
      <xdr:row>4</xdr:row>
      <xdr:rowOff>295275</xdr:rowOff>
    </xdr:to>
    <xdr:sp macro="" textlink="">
      <xdr:nvSpPr>
        <xdr:cNvPr id="20290" name="AutoShape 1" hidden="1"/>
        <xdr:cNvSpPr>
          <a:spLocks noChangeAspect="1" noChangeArrowheads="1"/>
        </xdr:cNvSpPr>
      </xdr:nvSpPr>
      <xdr:spPr bwMode="auto">
        <a:xfrm>
          <a:off x="4313208" y="327804"/>
          <a:ext cx="3501241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36</xdr:col>
      <xdr:colOff>460862</xdr:colOff>
      <xdr:row>4</xdr:row>
      <xdr:rowOff>295275</xdr:rowOff>
    </xdr:to>
    <xdr:sp macro="" textlink="">
      <xdr:nvSpPr>
        <xdr:cNvPr id="20291" name="AutoShape 1" hidden="1"/>
        <xdr:cNvSpPr>
          <a:spLocks noChangeAspect="1" noChangeArrowheads="1"/>
        </xdr:cNvSpPr>
      </xdr:nvSpPr>
      <xdr:spPr bwMode="auto">
        <a:xfrm>
          <a:off x="4313208" y="327804"/>
          <a:ext cx="3496652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36</xdr:col>
      <xdr:colOff>215841</xdr:colOff>
      <xdr:row>4</xdr:row>
      <xdr:rowOff>295275</xdr:rowOff>
    </xdr:to>
    <xdr:sp macro="" textlink="">
      <xdr:nvSpPr>
        <xdr:cNvPr id="20292" name="AutoShape 1" hidden="1"/>
        <xdr:cNvSpPr>
          <a:spLocks noChangeAspect="1" noChangeArrowheads="1"/>
        </xdr:cNvSpPr>
      </xdr:nvSpPr>
      <xdr:spPr bwMode="auto">
        <a:xfrm>
          <a:off x="4313208" y="327804"/>
          <a:ext cx="347215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36</xdr:col>
      <xdr:colOff>190729</xdr:colOff>
      <xdr:row>4</xdr:row>
      <xdr:rowOff>295275</xdr:rowOff>
    </xdr:to>
    <xdr:sp macro="" textlink="">
      <xdr:nvSpPr>
        <xdr:cNvPr id="20293" name="AutoShape 1" hidden="1"/>
        <xdr:cNvSpPr>
          <a:spLocks noChangeAspect="1" noChangeArrowheads="1"/>
        </xdr:cNvSpPr>
      </xdr:nvSpPr>
      <xdr:spPr bwMode="auto">
        <a:xfrm>
          <a:off x="4313208" y="327804"/>
          <a:ext cx="346963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36</xdr:col>
      <xdr:colOff>437482</xdr:colOff>
      <xdr:row>4</xdr:row>
      <xdr:rowOff>295275</xdr:rowOff>
    </xdr:to>
    <xdr:sp macro="" textlink="">
      <xdr:nvSpPr>
        <xdr:cNvPr id="20294" name="AutoShape 1" hidden="1"/>
        <xdr:cNvSpPr>
          <a:spLocks noChangeAspect="1" noChangeArrowheads="1"/>
        </xdr:cNvSpPr>
      </xdr:nvSpPr>
      <xdr:spPr bwMode="auto">
        <a:xfrm>
          <a:off x="4313208" y="327804"/>
          <a:ext cx="3494314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36</xdr:col>
      <xdr:colOff>506756</xdr:colOff>
      <xdr:row>4</xdr:row>
      <xdr:rowOff>295275</xdr:rowOff>
    </xdr:to>
    <xdr:sp macro="" textlink="">
      <xdr:nvSpPr>
        <xdr:cNvPr id="20295" name="AutoShape 1" hidden="1"/>
        <xdr:cNvSpPr>
          <a:spLocks noChangeAspect="1" noChangeArrowheads="1"/>
        </xdr:cNvSpPr>
      </xdr:nvSpPr>
      <xdr:spPr bwMode="auto">
        <a:xfrm>
          <a:off x="4313208" y="327804"/>
          <a:ext cx="3501241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37</xdr:col>
      <xdr:colOff>225075</xdr:colOff>
      <xdr:row>4</xdr:row>
      <xdr:rowOff>295275</xdr:rowOff>
    </xdr:to>
    <xdr:sp macro="" textlink="">
      <xdr:nvSpPr>
        <xdr:cNvPr id="20296" name="AutoShape 1" hidden="1"/>
        <xdr:cNvSpPr>
          <a:spLocks noChangeAspect="1" noChangeArrowheads="1"/>
        </xdr:cNvSpPr>
      </xdr:nvSpPr>
      <xdr:spPr bwMode="auto">
        <a:xfrm>
          <a:off x="4313208" y="327804"/>
          <a:ext cx="358090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37</xdr:col>
      <xdr:colOff>0</xdr:colOff>
      <xdr:row>4</xdr:row>
      <xdr:rowOff>295275</xdr:rowOff>
    </xdr:to>
    <xdr:sp macro="" textlink="">
      <xdr:nvSpPr>
        <xdr:cNvPr id="20297" name="AutoShape 1" hidden="1"/>
        <xdr:cNvSpPr>
          <a:spLocks noChangeAspect="1" noChangeArrowheads="1"/>
        </xdr:cNvSpPr>
      </xdr:nvSpPr>
      <xdr:spPr bwMode="auto">
        <a:xfrm>
          <a:off x="4313208" y="327804"/>
          <a:ext cx="355916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36</xdr:col>
      <xdr:colOff>1132809</xdr:colOff>
      <xdr:row>4</xdr:row>
      <xdr:rowOff>295275</xdr:rowOff>
    </xdr:to>
    <xdr:sp macro="" textlink="">
      <xdr:nvSpPr>
        <xdr:cNvPr id="20298" name="AutoShape 1" hidden="1"/>
        <xdr:cNvSpPr>
          <a:spLocks noChangeAspect="1" noChangeArrowheads="1"/>
        </xdr:cNvSpPr>
      </xdr:nvSpPr>
      <xdr:spPr bwMode="auto">
        <a:xfrm>
          <a:off x="4313208" y="327804"/>
          <a:ext cx="35586711" cy="493683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31</xdr:col>
      <xdr:colOff>99549</xdr:colOff>
      <xdr:row>4</xdr:row>
      <xdr:rowOff>295275</xdr:rowOff>
    </xdr:to>
    <xdr:sp macro="" textlink="">
      <xdr:nvSpPr>
        <xdr:cNvPr id="20299" name="AutoShape 1" hidden="1"/>
        <xdr:cNvSpPr>
          <a:spLocks noChangeAspect="1" noChangeArrowheads="1"/>
        </xdr:cNvSpPr>
      </xdr:nvSpPr>
      <xdr:spPr bwMode="auto">
        <a:xfrm>
          <a:off x="11861321" y="327804"/>
          <a:ext cx="2166558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37</xdr:col>
      <xdr:colOff>201695</xdr:colOff>
      <xdr:row>4</xdr:row>
      <xdr:rowOff>295275</xdr:rowOff>
    </xdr:to>
    <xdr:sp macro="" textlink="">
      <xdr:nvSpPr>
        <xdr:cNvPr id="20300" name="AutoShape 1" hidden="1"/>
        <xdr:cNvSpPr>
          <a:spLocks noChangeAspect="1" noChangeArrowheads="1"/>
        </xdr:cNvSpPr>
      </xdr:nvSpPr>
      <xdr:spPr bwMode="auto">
        <a:xfrm>
          <a:off x="4313208" y="327804"/>
          <a:ext cx="3578565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37</xdr:col>
      <xdr:colOff>270969</xdr:colOff>
      <xdr:row>4</xdr:row>
      <xdr:rowOff>295275</xdr:rowOff>
    </xdr:to>
    <xdr:sp macro="" textlink="">
      <xdr:nvSpPr>
        <xdr:cNvPr id="20301" name="AutoShape 1" hidden="1"/>
        <xdr:cNvSpPr>
          <a:spLocks noChangeAspect="1" noChangeArrowheads="1"/>
        </xdr:cNvSpPr>
      </xdr:nvSpPr>
      <xdr:spPr bwMode="auto">
        <a:xfrm>
          <a:off x="4313208" y="327804"/>
          <a:ext cx="358549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37</xdr:col>
      <xdr:colOff>225075</xdr:colOff>
      <xdr:row>4</xdr:row>
      <xdr:rowOff>295275</xdr:rowOff>
    </xdr:to>
    <xdr:sp macro="" textlink="">
      <xdr:nvSpPr>
        <xdr:cNvPr id="20302" name="AutoShape 1" hidden="1"/>
        <xdr:cNvSpPr>
          <a:spLocks noChangeAspect="1" noChangeArrowheads="1"/>
        </xdr:cNvSpPr>
      </xdr:nvSpPr>
      <xdr:spPr bwMode="auto">
        <a:xfrm>
          <a:off x="4313208" y="327804"/>
          <a:ext cx="358090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37</xdr:col>
      <xdr:colOff>0</xdr:colOff>
      <xdr:row>4</xdr:row>
      <xdr:rowOff>295275</xdr:rowOff>
    </xdr:to>
    <xdr:sp macro="" textlink="">
      <xdr:nvSpPr>
        <xdr:cNvPr id="20303" name="AutoShape 1" hidden="1"/>
        <xdr:cNvSpPr>
          <a:spLocks noChangeAspect="1" noChangeArrowheads="1"/>
        </xdr:cNvSpPr>
      </xdr:nvSpPr>
      <xdr:spPr bwMode="auto">
        <a:xfrm>
          <a:off x="4313208" y="327804"/>
          <a:ext cx="355916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36</xdr:col>
      <xdr:colOff>1132809</xdr:colOff>
      <xdr:row>4</xdr:row>
      <xdr:rowOff>295275</xdr:rowOff>
    </xdr:to>
    <xdr:sp macro="" textlink="">
      <xdr:nvSpPr>
        <xdr:cNvPr id="20304" name="AutoShape 1" hidden="1"/>
        <xdr:cNvSpPr>
          <a:spLocks noChangeAspect="1" noChangeArrowheads="1"/>
        </xdr:cNvSpPr>
      </xdr:nvSpPr>
      <xdr:spPr bwMode="auto">
        <a:xfrm>
          <a:off x="4313208" y="327804"/>
          <a:ext cx="3558671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37</xdr:col>
      <xdr:colOff>201695</xdr:colOff>
      <xdr:row>4</xdr:row>
      <xdr:rowOff>295275</xdr:rowOff>
    </xdr:to>
    <xdr:sp macro="" textlink="">
      <xdr:nvSpPr>
        <xdr:cNvPr id="20305" name="AutoShape 1" hidden="1"/>
        <xdr:cNvSpPr>
          <a:spLocks noChangeAspect="1" noChangeArrowheads="1"/>
        </xdr:cNvSpPr>
      </xdr:nvSpPr>
      <xdr:spPr bwMode="auto">
        <a:xfrm>
          <a:off x="4313208" y="327804"/>
          <a:ext cx="3578565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37</xdr:col>
      <xdr:colOff>270969</xdr:colOff>
      <xdr:row>4</xdr:row>
      <xdr:rowOff>295275</xdr:rowOff>
    </xdr:to>
    <xdr:sp macro="" textlink="">
      <xdr:nvSpPr>
        <xdr:cNvPr id="20306" name="AutoShape 1" hidden="1"/>
        <xdr:cNvSpPr>
          <a:spLocks noChangeAspect="1" noChangeArrowheads="1"/>
        </xdr:cNvSpPr>
      </xdr:nvSpPr>
      <xdr:spPr bwMode="auto">
        <a:xfrm>
          <a:off x="4313208" y="327804"/>
          <a:ext cx="358549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38</xdr:col>
      <xdr:colOff>16961</xdr:colOff>
      <xdr:row>4</xdr:row>
      <xdr:rowOff>295275</xdr:rowOff>
    </xdr:to>
    <xdr:sp macro="" textlink="">
      <xdr:nvSpPr>
        <xdr:cNvPr id="20307" name="AutoShape 1" hidden="1"/>
        <xdr:cNvSpPr>
          <a:spLocks noChangeAspect="1" noChangeArrowheads="1"/>
        </xdr:cNvSpPr>
      </xdr:nvSpPr>
      <xdr:spPr bwMode="auto">
        <a:xfrm>
          <a:off x="4313208" y="327804"/>
          <a:ext cx="366792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37</xdr:col>
      <xdr:colOff>949807</xdr:colOff>
      <xdr:row>4</xdr:row>
      <xdr:rowOff>295275</xdr:rowOff>
    </xdr:to>
    <xdr:sp macro="" textlink="">
      <xdr:nvSpPr>
        <xdr:cNvPr id="20308" name="AutoShape 1" hidden="1"/>
        <xdr:cNvSpPr>
          <a:spLocks noChangeAspect="1" noChangeArrowheads="1"/>
        </xdr:cNvSpPr>
      </xdr:nvSpPr>
      <xdr:spPr bwMode="auto">
        <a:xfrm>
          <a:off x="4313208" y="327804"/>
          <a:ext cx="3653376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37</xdr:col>
      <xdr:colOff>924695</xdr:colOff>
      <xdr:row>4</xdr:row>
      <xdr:rowOff>295275</xdr:rowOff>
    </xdr:to>
    <xdr:sp macro="" textlink="">
      <xdr:nvSpPr>
        <xdr:cNvPr id="20309" name="AutoShape 1" hidden="1"/>
        <xdr:cNvSpPr>
          <a:spLocks noChangeAspect="1" noChangeArrowheads="1"/>
        </xdr:cNvSpPr>
      </xdr:nvSpPr>
      <xdr:spPr bwMode="auto">
        <a:xfrm>
          <a:off x="4313208" y="327804"/>
          <a:ext cx="36508657" cy="493683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31</xdr:col>
      <xdr:colOff>99549</xdr:colOff>
      <xdr:row>4</xdr:row>
      <xdr:rowOff>295275</xdr:rowOff>
    </xdr:to>
    <xdr:sp macro="" textlink="">
      <xdr:nvSpPr>
        <xdr:cNvPr id="20310" name="AutoShape 1" hidden="1"/>
        <xdr:cNvSpPr>
          <a:spLocks noChangeAspect="1" noChangeArrowheads="1"/>
        </xdr:cNvSpPr>
      </xdr:nvSpPr>
      <xdr:spPr bwMode="auto">
        <a:xfrm>
          <a:off x="12939623" y="327804"/>
          <a:ext cx="2058728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37</xdr:col>
      <xdr:colOff>1143770</xdr:colOff>
      <xdr:row>4</xdr:row>
      <xdr:rowOff>295275</xdr:rowOff>
    </xdr:to>
    <xdr:sp macro="" textlink="">
      <xdr:nvSpPr>
        <xdr:cNvPr id="20311" name="AutoShape 1" hidden="1"/>
        <xdr:cNvSpPr>
          <a:spLocks noChangeAspect="1" noChangeArrowheads="1"/>
        </xdr:cNvSpPr>
      </xdr:nvSpPr>
      <xdr:spPr bwMode="auto">
        <a:xfrm>
          <a:off x="4313208" y="327804"/>
          <a:ext cx="366587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38</xdr:col>
      <xdr:colOff>62855</xdr:colOff>
      <xdr:row>4</xdr:row>
      <xdr:rowOff>295275</xdr:rowOff>
    </xdr:to>
    <xdr:sp macro="" textlink="">
      <xdr:nvSpPr>
        <xdr:cNvPr id="20312" name="AutoShape 1" hidden="1"/>
        <xdr:cNvSpPr>
          <a:spLocks noChangeAspect="1" noChangeArrowheads="1"/>
        </xdr:cNvSpPr>
      </xdr:nvSpPr>
      <xdr:spPr bwMode="auto">
        <a:xfrm>
          <a:off x="4313208" y="327804"/>
          <a:ext cx="36725119" cy="493683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37</xdr:col>
      <xdr:colOff>225072</xdr:colOff>
      <xdr:row>4</xdr:row>
      <xdr:rowOff>295275</xdr:rowOff>
    </xdr:to>
    <xdr:sp macro="" textlink="">
      <xdr:nvSpPr>
        <xdr:cNvPr id="20313" name="AutoShape 1" hidden="1"/>
        <xdr:cNvSpPr>
          <a:spLocks noChangeAspect="1" noChangeArrowheads="1"/>
        </xdr:cNvSpPr>
      </xdr:nvSpPr>
      <xdr:spPr bwMode="auto">
        <a:xfrm>
          <a:off x="5391509" y="327804"/>
          <a:ext cx="34730733" cy="493683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37</xdr:col>
      <xdr:colOff>0</xdr:colOff>
      <xdr:row>4</xdr:row>
      <xdr:rowOff>295275</xdr:rowOff>
    </xdr:to>
    <xdr:sp macro="" textlink="">
      <xdr:nvSpPr>
        <xdr:cNvPr id="20314" name="AutoShape 1" hidden="1"/>
        <xdr:cNvSpPr>
          <a:spLocks noChangeAspect="1" noChangeArrowheads="1"/>
        </xdr:cNvSpPr>
      </xdr:nvSpPr>
      <xdr:spPr bwMode="auto">
        <a:xfrm>
          <a:off x="5391509" y="327804"/>
          <a:ext cx="34513390" cy="493683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36</xdr:col>
      <xdr:colOff>1132806</xdr:colOff>
      <xdr:row>4</xdr:row>
      <xdr:rowOff>295275</xdr:rowOff>
    </xdr:to>
    <xdr:sp macro="" textlink="">
      <xdr:nvSpPr>
        <xdr:cNvPr id="20315" name="AutoShape 1" hidden="1"/>
        <xdr:cNvSpPr>
          <a:spLocks noChangeAspect="1" noChangeArrowheads="1"/>
        </xdr:cNvSpPr>
      </xdr:nvSpPr>
      <xdr:spPr bwMode="auto">
        <a:xfrm>
          <a:off x="5391509" y="327804"/>
          <a:ext cx="34508407" cy="493683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37</xdr:col>
      <xdr:colOff>201692</xdr:colOff>
      <xdr:row>4</xdr:row>
      <xdr:rowOff>295275</xdr:rowOff>
    </xdr:to>
    <xdr:sp macro="" textlink="">
      <xdr:nvSpPr>
        <xdr:cNvPr id="20316" name="AutoShape 1" hidden="1"/>
        <xdr:cNvSpPr>
          <a:spLocks noChangeAspect="1" noChangeArrowheads="1"/>
        </xdr:cNvSpPr>
      </xdr:nvSpPr>
      <xdr:spPr bwMode="auto">
        <a:xfrm>
          <a:off x="5391509" y="327804"/>
          <a:ext cx="34707353" cy="493683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37</xdr:col>
      <xdr:colOff>270966</xdr:colOff>
      <xdr:row>4</xdr:row>
      <xdr:rowOff>295275</xdr:rowOff>
    </xdr:to>
    <xdr:sp macro="" textlink="">
      <xdr:nvSpPr>
        <xdr:cNvPr id="20317" name="AutoShape 1" hidden="1"/>
        <xdr:cNvSpPr>
          <a:spLocks noChangeAspect="1" noChangeArrowheads="1"/>
        </xdr:cNvSpPr>
      </xdr:nvSpPr>
      <xdr:spPr bwMode="auto">
        <a:xfrm>
          <a:off x="5391509" y="327804"/>
          <a:ext cx="3477662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38</xdr:col>
      <xdr:colOff>959037</xdr:colOff>
      <xdr:row>4</xdr:row>
      <xdr:rowOff>295275</xdr:rowOff>
    </xdr:to>
    <xdr:sp macro="" textlink="">
      <xdr:nvSpPr>
        <xdr:cNvPr id="20318" name="AutoShape 1" hidden="1"/>
        <xdr:cNvSpPr>
          <a:spLocks noChangeAspect="1" noChangeArrowheads="1"/>
        </xdr:cNvSpPr>
      </xdr:nvSpPr>
      <xdr:spPr bwMode="auto">
        <a:xfrm>
          <a:off x="4313208" y="327804"/>
          <a:ext cx="376213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38</xdr:col>
      <xdr:colOff>741694</xdr:colOff>
      <xdr:row>4</xdr:row>
      <xdr:rowOff>295275</xdr:rowOff>
    </xdr:to>
    <xdr:sp macro="" textlink="">
      <xdr:nvSpPr>
        <xdr:cNvPr id="20319" name="AutoShape 1" hidden="1"/>
        <xdr:cNvSpPr>
          <a:spLocks noChangeAspect="1" noChangeArrowheads="1"/>
        </xdr:cNvSpPr>
      </xdr:nvSpPr>
      <xdr:spPr bwMode="auto">
        <a:xfrm>
          <a:off x="4313208" y="327804"/>
          <a:ext cx="3740395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38</xdr:col>
      <xdr:colOff>716582</xdr:colOff>
      <xdr:row>4</xdr:row>
      <xdr:rowOff>295275</xdr:rowOff>
    </xdr:to>
    <xdr:sp macro="" textlink="">
      <xdr:nvSpPr>
        <xdr:cNvPr id="20320" name="AutoShape 1" hidden="1"/>
        <xdr:cNvSpPr>
          <a:spLocks noChangeAspect="1" noChangeArrowheads="1"/>
        </xdr:cNvSpPr>
      </xdr:nvSpPr>
      <xdr:spPr bwMode="auto">
        <a:xfrm>
          <a:off x="4313208" y="327804"/>
          <a:ext cx="37378846" cy="493683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31</xdr:col>
      <xdr:colOff>99545</xdr:colOff>
      <xdr:row>4</xdr:row>
      <xdr:rowOff>295275</xdr:rowOff>
    </xdr:to>
    <xdr:sp macro="" textlink="">
      <xdr:nvSpPr>
        <xdr:cNvPr id="20321" name="AutoShape 1" hidden="1"/>
        <xdr:cNvSpPr>
          <a:spLocks noChangeAspect="1" noChangeArrowheads="1"/>
        </xdr:cNvSpPr>
      </xdr:nvSpPr>
      <xdr:spPr bwMode="auto">
        <a:xfrm>
          <a:off x="14017925" y="327804"/>
          <a:ext cx="1950897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38</xdr:col>
      <xdr:colOff>935657</xdr:colOff>
      <xdr:row>4</xdr:row>
      <xdr:rowOff>295275</xdr:rowOff>
    </xdr:to>
    <xdr:sp macro="" textlink="">
      <xdr:nvSpPr>
        <xdr:cNvPr id="20322" name="AutoShape 1" hidden="1"/>
        <xdr:cNvSpPr>
          <a:spLocks noChangeAspect="1" noChangeArrowheads="1"/>
        </xdr:cNvSpPr>
      </xdr:nvSpPr>
      <xdr:spPr bwMode="auto">
        <a:xfrm>
          <a:off x="4313208" y="327804"/>
          <a:ext cx="375979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38</xdr:col>
      <xdr:colOff>1004931</xdr:colOff>
      <xdr:row>4</xdr:row>
      <xdr:rowOff>295275</xdr:rowOff>
    </xdr:to>
    <xdr:sp macro="" textlink="">
      <xdr:nvSpPr>
        <xdr:cNvPr id="20323" name="AutoShape 1" hidden="1"/>
        <xdr:cNvSpPr>
          <a:spLocks noChangeAspect="1" noChangeArrowheads="1"/>
        </xdr:cNvSpPr>
      </xdr:nvSpPr>
      <xdr:spPr bwMode="auto">
        <a:xfrm>
          <a:off x="4313208" y="327804"/>
          <a:ext cx="37667195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37</xdr:col>
      <xdr:colOff>225071</xdr:colOff>
      <xdr:row>4</xdr:row>
      <xdr:rowOff>295275</xdr:rowOff>
    </xdr:to>
    <xdr:sp macro="" textlink="">
      <xdr:nvSpPr>
        <xdr:cNvPr id="20324" name="AutoShape 1" hidden="1"/>
        <xdr:cNvSpPr>
          <a:spLocks noChangeAspect="1" noChangeArrowheads="1"/>
        </xdr:cNvSpPr>
      </xdr:nvSpPr>
      <xdr:spPr bwMode="auto">
        <a:xfrm>
          <a:off x="8626415" y="327804"/>
          <a:ext cx="31495826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37</xdr:col>
      <xdr:colOff>0</xdr:colOff>
      <xdr:row>4</xdr:row>
      <xdr:rowOff>295275</xdr:rowOff>
    </xdr:to>
    <xdr:sp macro="" textlink="">
      <xdr:nvSpPr>
        <xdr:cNvPr id="20325" name="AutoShape 1" hidden="1"/>
        <xdr:cNvSpPr>
          <a:spLocks noChangeAspect="1" noChangeArrowheads="1"/>
        </xdr:cNvSpPr>
      </xdr:nvSpPr>
      <xdr:spPr bwMode="auto">
        <a:xfrm>
          <a:off x="8626415" y="327804"/>
          <a:ext cx="31278483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36</xdr:col>
      <xdr:colOff>1132805</xdr:colOff>
      <xdr:row>4</xdr:row>
      <xdr:rowOff>295275</xdr:rowOff>
    </xdr:to>
    <xdr:sp macro="" textlink="">
      <xdr:nvSpPr>
        <xdr:cNvPr id="20326" name="AutoShape 1" hidden="1"/>
        <xdr:cNvSpPr>
          <a:spLocks noChangeAspect="1" noChangeArrowheads="1"/>
        </xdr:cNvSpPr>
      </xdr:nvSpPr>
      <xdr:spPr bwMode="auto">
        <a:xfrm>
          <a:off x="8626415" y="327804"/>
          <a:ext cx="31273500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37</xdr:col>
      <xdr:colOff>201691</xdr:colOff>
      <xdr:row>4</xdr:row>
      <xdr:rowOff>295275</xdr:rowOff>
    </xdr:to>
    <xdr:sp macro="" textlink="">
      <xdr:nvSpPr>
        <xdr:cNvPr id="20327" name="AutoShape 1" hidden="1"/>
        <xdr:cNvSpPr>
          <a:spLocks noChangeAspect="1" noChangeArrowheads="1"/>
        </xdr:cNvSpPr>
      </xdr:nvSpPr>
      <xdr:spPr bwMode="auto">
        <a:xfrm>
          <a:off x="8626415" y="327804"/>
          <a:ext cx="31472446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37</xdr:col>
      <xdr:colOff>270965</xdr:colOff>
      <xdr:row>4</xdr:row>
      <xdr:rowOff>295275</xdr:rowOff>
    </xdr:to>
    <xdr:sp macro="" textlink="">
      <xdr:nvSpPr>
        <xdr:cNvPr id="20328" name="AutoShape 1" hidden="1"/>
        <xdr:cNvSpPr>
          <a:spLocks noChangeAspect="1" noChangeArrowheads="1"/>
        </xdr:cNvSpPr>
      </xdr:nvSpPr>
      <xdr:spPr bwMode="auto">
        <a:xfrm>
          <a:off x="8626415" y="327804"/>
          <a:ext cx="3154172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39</xdr:col>
      <xdr:colOff>750924</xdr:colOff>
      <xdr:row>4</xdr:row>
      <xdr:rowOff>295275</xdr:rowOff>
    </xdr:to>
    <xdr:sp macro="" textlink="">
      <xdr:nvSpPr>
        <xdr:cNvPr id="20329" name="AutoShape 1" hidden="1"/>
        <xdr:cNvSpPr>
          <a:spLocks noChangeAspect="1" noChangeArrowheads="1"/>
        </xdr:cNvSpPr>
      </xdr:nvSpPr>
      <xdr:spPr bwMode="auto">
        <a:xfrm>
          <a:off x="4313208" y="327804"/>
          <a:ext cx="384914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39</xdr:col>
      <xdr:colOff>533581</xdr:colOff>
      <xdr:row>4</xdr:row>
      <xdr:rowOff>295275</xdr:rowOff>
    </xdr:to>
    <xdr:sp macro="" textlink="">
      <xdr:nvSpPr>
        <xdr:cNvPr id="20330" name="AutoShape 1" hidden="1"/>
        <xdr:cNvSpPr>
          <a:spLocks noChangeAspect="1" noChangeArrowheads="1"/>
        </xdr:cNvSpPr>
      </xdr:nvSpPr>
      <xdr:spPr bwMode="auto">
        <a:xfrm>
          <a:off x="4313208" y="327804"/>
          <a:ext cx="3827414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39</xdr:col>
      <xdr:colOff>508469</xdr:colOff>
      <xdr:row>4</xdr:row>
      <xdr:rowOff>295275</xdr:rowOff>
    </xdr:to>
    <xdr:sp macro="" textlink="">
      <xdr:nvSpPr>
        <xdr:cNvPr id="20331" name="AutoShape 1" hidden="1"/>
        <xdr:cNvSpPr>
          <a:spLocks noChangeAspect="1" noChangeArrowheads="1"/>
        </xdr:cNvSpPr>
      </xdr:nvSpPr>
      <xdr:spPr bwMode="auto">
        <a:xfrm>
          <a:off x="4313208" y="327804"/>
          <a:ext cx="38249035" cy="493683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2</xdr:row>
      <xdr:rowOff>0</xdr:rowOff>
    </xdr:from>
    <xdr:to>
      <xdr:col>31</xdr:col>
      <xdr:colOff>101882</xdr:colOff>
      <xdr:row>4</xdr:row>
      <xdr:rowOff>295275</xdr:rowOff>
    </xdr:to>
    <xdr:sp macro="" textlink="">
      <xdr:nvSpPr>
        <xdr:cNvPr id="20332" name="AutoShape 1" hidden="1"/>
        <xdr:cNvSpPr>
          <a:spLocks noChangeAspect="1" noChangeArrowheads="1"/>
        </xdr:cNvSpPr>
      </xdr:nvSpPr>
      <xdr:spPr bwMode="auto">
        <a:xfrm>
          <a:off x="15096226" y="327804"/>
          <a:ext cx="1843301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39</xdr:col>
      <xdr:colOff>727544</xdr:colOff>
      <xdr:row>4</xdr:row>
      <xdr:rowOff>295275</xdr:rowOff>
    </xdr:to>
    <xdr:sp macro="" textlink="">
      <xdr:nvSpPr>
        <xdr:cNvPr id="20333" name="AutoShape 1" hidden="1"/>
        <xdr:cNvSpPr>
          <a:spLocks noChangeAspect="1" noChangeArrowheads="1"/>
        </xdr:cNvSpPr>
      </xdr:nvSpPr>
      <xdr:spPr bwMode="auto">
        <a:xfrm>
          <a:off x="4313208" y="327804"/>
          <a:ext cx="3846811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39</xdr:col>
      <xdr:colOff>796818</xdr:colOff>
      <xdr:row>4</xdr:row>
      <xdr:rowOff>295275</xdr:rowOff>
    </xdr:to>
    <xdr:sp macro="" textlink="">
      <xdr:nvSpPr>
        <xdr:cNvPr id="20334" name="AutoShape 1" hidden="1"/>
        <xdr:cNvSpPr>
          <a:spLocks noChangeAspect="1" noChangeArrowheads="1"/>
        </xdr:cNvSpPr>
      </xdr:nvSpPr>
      <xdr:spPr bwMode="auto">
        <a:xfrm>
          <a:off x="4313208" y="327804"/>
          <a:ext cx="38537384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37</xdr:col>
      <xdr:colOff>225072</xdr:colOff>
      <xdr:row>4</xdr:row>
      <xdr:rowOff>295275</xdr:rowOff>
    </xdr:to>
    <xdr:sp macro="" textlink="">
      <xdr:nvSpPr>
        <xdr:cNvPr id="20335" name="AutoShape 1" hidden="1"/>
        <xdr:cNvSpPr>
          <a:spLocks noChangeAspect="1" noChangeArrowheads="1"/>
        </xdr:cNvSpPr>
      </xdr:nvSpPr>
      <xdr:spPr bwMode="auto">
        <a:xfrm>
          <a:off x="8626415" y="327804"/>
          <a:ext cx="31495827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37</xdr:col>
      <xdr:colOff>0</xdr:colOff>
      <xdr:row>4</xdr:row>
      <xdr:rowOff>295275</xdr:rowOff>
    </xdr:to>
    <xdr:sp macro="" textlink="">
      <xdr:nvSpPr>
        <xdr:cNvPr id="20336" name="AutoShape 1" hidden="1"/>
        <xdr:cNvSpPr>
          <a:spLocks noChangeAspect="1" noChangeArrowheads="1"/>
        </xdr:cNvSpPr>
      </xdr:nvSpPr>
      <xdr:spPr bwMode="auto">
        <a:xfrm>
          <a:off x="8626415" y="327804"/>
          <a:ext cx="31278484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36</xdr:col>
      <xdr:colOff>1132806</xdr:colOff>
      <xdr:row>4</xdr:row>
      <xdr:rowOff>295275</xdr:rowOff>
    </xdr:to>
    <xdr:sp macro="" textlink="">
      <xdr:nvSpPr>
        <xdr:cNvPr id="20337" name="AutoShape 1" hidden="1"/>
        <xdr:cNvSpPr>
          <a:spLocks noChangeAspect="1" noChangeArrowheads="1"/>
        </xdr:cNvSpPr>
      </xdr:nvSpPr>
      <xdr:spPr bwMode="auto">
        <a:xfrm>
          <a:off x="8626415" y="327804"/>
          <a:ext cx="31273501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37</xdr:col>
      <xdr:colOff>201692</xdr:colOff>
      <xdr:row>4</xdr:row>
      <xdr:rowOff>295275</xdr:rowOff>
    </xdr:to>
    <xdr:sp macro="" textlink="">
      <xdr:nvSpPr>
        <xdr:cNvPr id="20338" name="AutoShape 1" hidden="1"/>
        <xdr:cNvSpPr>
          <a:spLocks noChangeAspect="1" noChangeArrowheads="1"/>
        </xdr:cNvSpPr>
      </xdr:nvSpPr>
      <xdr:spPr bwMode="auto">
        <a:xfrm>
          <a:off x="8626415" y="327804"/>
          <a:ext cx="31472447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37</xdr:col>
      <xdr:colOff>270966</xdr:colOff>
      <xdr:row>4</xdr:row>
      <xdr:rowOff>295275</xdr:rowOff>
    </xdr:to>
    <xdr:sp macro="" textlink="">
      <xdr:nvSpPr>
        <xdr:cNvPr id="20339" name="AutoShape 1" hidden="1"/>
        <xdr:cNvSpPr>
          <a:spLocks noChangeAspect="1" noChangeArrowheads="1"/>
        </xdr:cNvSpPr>
      </xdr:nvSpPr>
      <xdr:spPr bwMode="auto">
        <a:xfrm>
          <a:off x="8626415" y="327804"/>
          <a:ext cx="315417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40</xdr:col>
      <xdr:colOff>545149</xdr:colOff>
      <xdr:row>4</xdr:row>
      <xdr:rowOff>295275</xdr:rowOff>
    </xdr:to>
    <xdr:sp macro="" textlink="">
      <xdr:nvSpPr>
        <xdr:cNvPr id="20340" name="AutoShape 1" hidden="1"/>
        <xdr:cNvSpPr>
          <a:spLocks noChangeAspect="1" noChangeArrowheads="1"/>
        </xdr:cNvSpPr>
      </xdr:nvSpPr>
      <xdr:spPr bwMode="auto">
        <a:xfrm>
          <a:off x="4313208" y="327804"/>
          <a:ext cx="3936401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40</xdr:col>
      <xdr:colOff>330682</xdr:colOff>
      <xdr:row>4</xdr:row>
      <xdr:rowOff>295275</xdr:rowOff>
    </xdr:to>
    <xdr:sp macro="" textlink="">
      <xdr:nvSpPr>
        <xdr:cNvPr id="20341" name="AutoShape 1" hidden="1"/>
        <xdr:cNvSpPr>
          <a:spLocks noChangeAspect="1" noChangeArrowheads="1"/>
        </xdr:cNvSpPr>
      </xdr:nvSpPr>
      <xdr:spPr bwMode="auto">
        <a:xfrm>
          <a:off x="4313208" y="327804"/>
          <a:ext cx="3914954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40</xdr:col>
      <xdr:colOff>305570</xdr:colOff>
      <xdr:row>4</xdr:row>
      <xdr:rowOff>295275</xdr:rowOff>
    </xdr:to>
    <xdr:sp macro="" textlink="">
      <xdr:nvSpPr>
        <xdr:cNvPr id="20342" name="AutoShape 1" hidden="1"/>
        <xdr:cNvSpPr>
          <a:spLocks noChangeAspect="1" noChangeArrowheads="1"/>
        </xdr:cNvSpPr>
      </xdr:nvSpPr>
      <xdr:spPr bwMode="auto">
        <a:xfrm>
          <a:off x="4313208" y="327804"/>
          <a:ext cx="39124437" cy="493683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2</xdr:row>
      <xdr:rowOff>0</xdr:rowOff>
    </xdr:from>
    <xdr:to>
      <xdr:col>31</xdr:col>
      <xdr:colOff>104219</xdr:colOff>
      <xdr:row>4</xdr:row>
      <xdr:rowOff>295275</xdr:rowOff>
    </xdr:to>
    <xdr:sp macro="" textlink="">
      <xdr:nvSpPr>
        <xdr:cNvPr id="20343" name="AutoShape 1" hidden="1"/>
        <xdr:cNvSpPr>
          <a:spLocks noChangeAspect="1" noChangeArrowheads="1"/>
        </xdr:cNvSpPr>
      </xdr:nvSpPr>
      <xdr:spPr bwMode="auto">
        <a:xfrm>
          <a:off x="16174528" y="327804"/>
          <a:ext cx="1735704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40</xdr:col>
      <xdr:colOff>521769</xdr:colOff>
      <xdr:row>4</xdr:row>
      <xdr:rowOff>295275</xdr:rowOff>
    </xdr:to>
    <xdr:sp macro="" textlink="">
      <xdr:nvSpPr>
        <xdr:cNvPr id="20344" name="AutoShape 1" hidden="1"/>
        <xdr:cNvSpPr>
          <a:spLocks noChangeAspect="1" noChangeArrowheads="1"/>
        </xdr:cNvSpPr>
      </xdr:nvSpPr>
      <xdr:spPr bwMode="auto">
        <a:xfrm>
          <a:off x="4313208" y="327804"/>
          <a:ext cx="3934063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40</xdr:col>
      <xdr:colOff>591043</xdr:colOff>
      <xdr:row>4</xdr:row>
      <xdr:rowOff>295275</xdr:rowOff>
    </xdr:to>
    <xdr:sp macro="" textlink="">
      <xdr:nvSpPr>
        <xdr:cNvPr id="20345" name="AutoShape 1" hidden="1"/>
        <xdr:cNvSpPr>
          <a:spLocks noChangeAspect="1" noChangeArrowheads="1"/>
        </xdr:cNvSpPr>
      </xdr:nvSpPr>
      <xdr:spPr bwMode="auto">
        <a:xfrm>
          <a:off x="4313208" y="327804"/>
          <a:ext cx="39409910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37</xdr:col>
      <xdr:colOff>227407</xdr:colOff>
      <xdr:row>4</xdr:row>
      <xdr:rowOff>295275</xdr:rowOff>
    </xdr:to>
    <xdr:sp macro="" textlink="">
      <xdr:nvSpPr>
        <xdr:cNvPr id="20346" name="AutoShape 1" hidden="1"/>
        <xdr:cNvSpPr>
          <a:spLocks noChangeAspect="1" noChangeArrowheads="1"/>
        </xdr:cNvSpPr>
      </xdr:nvSpPr>
      <xdr:spPr bwMode="auto">
        <a:xfrm>
          <a:off x="8626415" y="327804"/>
          <a:ext cx="31498162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37</xdr:col>
      <xdr:colOff>10064</xdr:colOff>
      <xdr:row>4</xdr:row>
      <xdr:rowOff>295275</xdr:rowOff>
    </xdr:to>
    <xdr:sp macro="" textlink="">
      <xdr:nvSpPr>
        <xdr:cNvPr id="20347" name="AutoShape 1" hidden="1"/>
        <xdr:cNvSpPr>
          <a:spLocks noChangeAspect="1" noChangeArrowheads="1"/>
        </xdr:cNvSpPr>
      </xdr:nvSpPr>
      <xdr:spPr bwMode="auto">
        <a:xfrm>
          <a:off x="8626415" y="327804"/>
          <a:ext cx="31280819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36</xdr:col>
      <xdr:colOff>1135141</xdr:colOff>
      <xdr:row>4</xdr:row>
      <xdr:rowOff>295275</xdr:rowOff>
    </xdr:to>
    <xdr:sp macro="" textlink="">
      <xdr:nvSpPr>
        <xdr:cNvPr id="20348" name="AutoShape 1" hidden="1"/>
        <xdr:cNvSpPr>
          <a:spLocks noChangeAspect="1" noChangeArrowheads="1"/>
        </xdr:cNvSpPr>
      </xdr:nvSpPr>
      <xdr:spPr bwMode="auto">
        <a:xfrm>
          <a:off x="8626415" y="327804"/>
          <a:ext cx="31267209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37</xdr:col>
      <xdr:colOff>204027</xdr:colOff>
      <xdr:row>4</xdr:row>
      <xdr:rowOff>295275</xdr:rowOff>
    </xdr:to>
    <xdr:sp macro="" textlink="">
      <xdr:nvSpPr>
        <xdr:cNvPr id="20349" name="AutoShape 1" hidden="1"/>
        <xdr:cNvSpPr>
          <a:spLocks noChangeAspect="1" noChangeArrowheads="1"/>
        </xdr:cNvSpPr>
      </xdr:nvSpPr>
      <xdr:spPr bwMode="auto">
        <a:xfrm>
          <a:off x="8626415" y="327804"/>
          <a:ext cx="31474782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37</xdr:col>
      <xdr:colOff>273301</xdr:colOff>
      <xdr:row>4</xdr:row>
      <xdr:rowOff>295275</xdr:rowOff>
    </xdr:to>
    <xdr:sp macro="" textlink="">
      <xdr:nvSpPr>
        <xdr:cNvPr id="20350" name="AutoShape 1" hidden="1"/>
        <xdr:cNvSpPr>
          <a:spLocks noChangeAspect="1" noChangeArrowheads="1"/>
        </xdr:cNvSpPr>
      </xdr:nvSpPr>
      <xdr:spPr bwMode="auto">
        <a:xfrm>
          <a:off x="8626415" y="327804"/>
          <a:ext cx="3154405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41</xdr:col>
      <xdr:colOff>342248</xdr:colOff>
      <xdr:row>4</xdr:row>
      <xdr:rowOff>295275</xdr:rowOff>
    </xdr:to>
    <xdr:sp macro="" textlink="">
      <xdr:nvSpPr>
        <xdr:cNvPr id="20351" name="AutoShape 1" hidden="1"/>
        <xdr:cNvSpPr>
          <a:spLocks noChangeAspect="1" noChangeArrowheads="1"/>
        </xdr:cNvSpPr>
      </xdr:nvSpPr>
      <xdr:spPr bwMode="auto">
        <a:xfrm>
          <a:off x="4313208" y="327804"/>
          <a:ext cx="4023941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41</xdr:col>
      <xdr:colOff>92017</xdr:colOff>
      <xdr:row>4</xdr:row>
      <xdr:rowOff>295275</xdr:rowOff>
    </xdr:to>
    <xdr:sp macro="" textlink="">
      <xdr:nvSpPr>
        <xdr:cNvPr id="20352" name="AutoShape 1" hidden="1"/>
        <xdr:cNvSpPr>
          <a:spLocks noChangeAspect="1" noChangeArrowheads="1"/>
        </xdr:cNvSpPr>
      </xdr:nvSpPr>
      <xdr:spPr bwMode="auto">
        <a:xfrm>
          <a:off x="4313208" y="327804"/>
          <a:ext cx="3998918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41</xdr:col>
      <xdr:colOff>66905</xdr:colOff>
      <xdr:row>4</xdr:row>
      <xdr:rowOff>295275</xdr:rowOff>
    </xdr:to>
    <xdr:sp macro="" textlink="">
      <xdr:nvSpPr>
        <xdr:cNvPr id="20353" name="AutoShape 1" hidden="1"/>
        <xdr:cNvSpPr>
          <a:spLocks noChangeAspect="1" noChangeArrowheads="1"/>
        </xdr:cNvSpPr>
      </xdr:nvSpPr>
      <xdr:spPr bwMode="auto">
        <a:xfrm>
          <a:off x="4313208" y="327804"/>
          <a:ext cx="39964074" cy="493683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2</xdr:row>
      <xdr:rowOff>0</xdr:rowOff>
    </xdr:from>
    <xdr:to>
      <xdr:col>31</xdr:col>
      <xdr:colOff>106554</xdr:colOff>
      <xdr:row>4</xdr:row>
      <xdr:rowOff>295275</xdr:rowOff>
    </xdr:to>
    <xdr:sp macro="" textlink="">
      <xdr:nvSpPr>
        <xdr:cNvPr id="20354" name="AutoShape 1" hidden="1"/>
        <xdr:cNvSpPr>
          <a:spLocks noChangeAspect="1" noChangeArrowheads="1"/>
        </xdr:cNvSpPr>
      </xdr:nvSpPr>
      <xdr:spPr bwMode="auto">
        <a:xfrm>
          <a:off x="17252830" y="327804"/>
          <a:ext cx="1628108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41</xdr:col>
      <xdr:colOff>318868</xdr:colOff>
      <xdr:row>4</xdr:row>
      <xdr:rowOff>295275</xdr:rowOff>
    </xdr:to>
    <xdr:sp macro="" textlink="">
      <xdr:nvSpPr>
        <xdr:cNvPr id="20355" name="AutoShape 1" hidden="1"/>
        <xdr:cNvSpPr>
          <a:spLocks noChangeAspect="1" noChangeArrowheads="1"/>
        </xdr:cNvSpPr>
      </xdr:nvSpPr>
      <xdr:spPr bwMode="auto">
        <a:xfrm>
          <a:off x="4313208" y="327804"/>
          <a:ext cx="402160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41</xdr:col>
      <xdr:colOff>388142</xdr:colOff>
      <xdr:row>4</xdr:row>
      <xdr:rowOff>295275</xdr:rowOff>
    </xdr:to>
    <xdr:sp macro="" textlink="">
      <xdr:nvSpPr>
        <xdr:cNvPr id="20356" name="AutoShape 1" hidden="1"/>
        <xdr:cNvSpPr>
          <a:spLocks noChangeAspect="1" noChangeArrowheads="1"/>
        </xdr:cNvSpPr>
      </xdr:nvSpPr>
      <xdr:spPr bwMode="auto">
        <a:xfrm>
          <a:off x="4313208" y="327804"/>
          <a:ext cx="40285311" cy="493683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37</xdr:col>
      <xdr:colOff>229744</xdr:colOff>
      <xdr:row>4</xdr:row>
      <xdr:rowOff>295275</xdr:rowOff>
    </xdr:to>
    <xdr:sp macro="" textlink="">
      <xdr:nvSpPr>
        <xdr:cNvPr id="20357" name="AutoShape 1" hidden="1"/>
        <xdr:cNvSpPr>
          <a:spLocks noChangeAspect="1" noChangeArrowheads="1"/>
        </xdr:cNvSpPr>
      </xdr:nvSpPr>
      <xdr:spPr bwMode="auto">
        <a:xfrm>
          <a:off x="9704717" y="327804"/>
          <a:ext cx="30422197" cy="493683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37</xdr:col>
      <xdr:colOff>12401</xdr:colOff>
      <xdr:row>4</xdr:row>
      <xdr:rowOff>295275</xdr:rowOff>
    </xdr:to>
    <xdr:sp macro="" textlink="">
      <xdr:nvSpPr>
        <xdr:cNvPr id="20358" name="AutoShape 1" hidden="1"/>
        <xdr:cNvSpPr>
          <a:spLocks noChangeAspect="1" noChangeArrowheads="1"/>
        </xdr:cNvSpPr>
      </xdr:nvSpPr>
      <xdr:spPr bwMode="auto">
        <a:xfrm>
          <a:off x="9704717" y="327804"/>
          <a:ext cx="30204854" cy="493683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36</xdr:col>
      <xdr:colOff>1137478</xdr:colOff>
      <xdr:row>4</xdr:row>
      <xdr:rowOff>295275</xdr:rowOff>
    </xdr:to>
    <xdr:sp macro="" textlink="">
      <xdr:nvSpPr>
        <xdr:cNvPr id="20359" name="AutoShape 1" hidden="1"/>
        <xdr:cNvSpPr>
          <a:spLocks noChangeAspect="1" noChangeArrowheads="1"/>
        </xdr:cNvSpPr>
      </xdr:nvSpPr>
      <xdr:spPr bwMode="auto">
        <a:xfrm>
          <a:off x="9704717" y="327804"/>
          <a:ext cx="30191244" cy="493683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37</xdr:col>
      <xdr:colOff>206364</xdr:colOff>
      <xdr:row>4</xdr:row>
      <xdr:rowOff>295275</xdr:rowOff>
    </xdr:to>
    <xdr:sp macro="" textlink="">
      <xdr:nvSpPr>
        <xdr:cNvPr id="20360" name="AutoShape 1" hidden="1"/>
        <xdr:cNvSpPr>
          <a:spLocks noChangeAspect="1" noChangeArrowheads="1"/>
        </xdr:cNvSpPr>
      </xdr:nvSpPr>
      <xdr:spPr bwMode="auto">
        <a:xfrm>
          <a:off x="9704717" y="327804"/>
          <a:ext cx="30398817" cy="493683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37</xdr:col>
      <xdr:colOff>275638</xdr:colOff>
      <xdr:row>4</xdr:row>
      <xdr:rowOff>295275</xdr:rowOff>
    </xdr:to>
    <xdr:sp macro="" textlink="">
      <xdr:nvSpPr>
        <xdr:cNvPr id="20361" name="AutoShape 1" hidden="1"/>
        <xdr:cNvSpPr>
          <a:spLocks noChangeAspect="1" noChangeArrowheads="1"/>
        </xdr:cNvSpPr>
      </xdr:nvSpPr>
      <xdr:spPr bwMode="auto">
        <a:xfrm>
          <a:off x="9704717" y="327804"/>
          <a:ext cx="3046809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42</xdr:col>
      <xdr:colOff>103583</xdr:colOff>
      <xdr:row>4</xdr:row>
      <xdr:rowOff>295275</xdr:rowOff>
    </xdr:to>
    <xdr:sp macro="" textlink="">
      <xdr:nvSpPr>
        <xdr:cNvPr id="20362" name="AutoShape 1" hidden="1"/>
        <xdr:cNvSpPr>
          <a:spLocks noChangeAspect="1" noChangeArrowheads="1"/>
        </xdr:cNvSpPr>
      </xdr:nvSpPr>
      <xdr:spPr bwMode="auto">
        <a:xfrm>
          <a:off x="4313208" y="327804"/>
          <a:ext cx="4107905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41</xdr:col>
      <xdr:colOff>1036428</xdr:colOff>
      <xdr:row>4</xdr:row>
      <xdr:rowOff>295275</xdr:rowOff>
    </xdr:to>
    <xdr:sp macro="" textlink="">
      <xdr:nvSpPr>
        <xdr:cNvPr id="20363" name="AutoShape 1" hidden="1"/>
        <xdr:cNvSpPr>
          <a:spLocks noChangeAspect="1" noChangeArrowheads="1"/>
        </xdr:cNvSpPr>
      </xdr:nvSpPr>
      <xdr:spPr bwMode="auto">
        <a:xfrm>
          <a:off x="4313208" y="327804"/>
          <a:ext cx="4093359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41</xdr:col>
      <xdr:colOff>1011316</xdr:colOff>
      <xdr:row>4</xdr:row>
      <xdr:rowOff>295275</xdr:rowOff>
    </xdr:to>
    <xdr:sp macro="" textlink="">
      <xdr:nvSpPr>
        <xdr:cNvPr id="20364" name="AutoShape 1" hidden="1"/>
        <xdr:cNvSpPr>
          <a:spLocks noChangeAspect="1" noChangeArrowheads="1"/>
        </xdr:cNvSpPr>
      </xdr:nvSpPr>
      <xdr:spPr bwMode="auto">
        <a:xfrm>
          <a:off x="4313208" y="327804"/>
          <a:ext cx="40908485" cy="493683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2</xdr:row>
      <xdr:rowOff>0</xdr:rowOff>
    </xdr:from>
    <xdr:to>
      <xdr:col>31</xdr:col>
      <xdr:colOff>108893</xdr:colOff>
      <xdr:row>4</xdr:row>
      <xdr:rowOff>295275</xdr:rowOff>
    </xdr:to>
    <xdr:sp macro="" textlink="">
      <xdr:nvSpPr>
        <xdr:cNvPr id="20365" name="AutoShape 1" hidden="1"/>
        <xdr:cNvSpPr>
          <a:spLocks noChangeAspect="1" noChangeArrowheads="1"/>
        </xdr:cNvSpPr>
      </xdr:nvSpPr>
      <xdr:spPr bwMode="auto">
        <a:xfrm>
          <a:off x="18331132" y="327804"/>
          <a:ext cx="1520511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42</xdr:col>
      <xdr:colOff>80203</xdr:colOff>
      <xdr:row>4</xdr:row>
      <xdr:rowOff>295275</xdr:rowOff>
    </xdr:to>
    <xdr:sp macro="" textlink="">
      <xdr:nvSpPr>
        <xdr:cNvPr id="20366" name="AutoShape 1" hidden="1"/>
        <xdr:cNvSpPr>
          <a:spLocks noChangeAspect="1" noChangeArrowheads="1"/>
        </xdr:cNvSpPr>
      </xdr:nvSpPr>
      <xdr:spPr bwMode="auto">
        <a:xfrm>
          <a:off x="4313208" y="327804"/>
          <a:ext cx="4105567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42</xdr:col>
      <xdr:colOff>182366</xdr:colOff>
      <xdr:row>4</xdr:row>
      <xdr:rowOff>295275</xdr:rowOff>
    </xdr:to>
    <xdr:sp macro="" textlink="">
      <xdr:nvSpPr>
        <xdr:cNvPr id="20367" name="AutoShape 1" hidden="1"/>
        <xdr:cNvSpPr>
          <a:spLocks noChangeAspect="1" noChangeArrowheads="1"/>
        </xdr:cNvSpPr>
      </xdr:nvSpPr>
      <xdr:spPr bwMode="auto">
        <a:xfrm>
          <a:off x="4313208" y="327804"/>
          <a:ext cx="41157837" cy="493683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37</xdr:col>
      <xdr:colOff>232081</xdr:colOff>
      <xdr:row>4</xdr:row>
      <xdr:rowOff>295275</xdr:rowOff>
    </xdr:to>
    <xdr:sp macro="" textlink="">
      <xdr:nvSpPr>
        <xdr:cNvPr id="20368" name="AutoShape 1" hidden="1"/>
        <xdr:cNvSpPr>
          <a:spLocks noChangeAspect="1" noChangeArrowheads="1"/>
        </xdr:cNvSpPr>
      </xdr:nvSpPr>
      <xdr:spPr bwMode="auto">
        <a:xfrm>
          <a:off x="10783019" y="327804"/>
          <a:ext cx="29346232" cy="493683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37</xdr:col>
      <xdr:colOff>14738</xdr:colOff>
      <xdr:row>4</xdr:row>
      <xdr:rowOff>295275</xdr:rowOff>
    </xdr:to>
    <xdr:sp macro="" textlink="">
      <xdr:nvSpPr>
        <xdr:cNvPr id="20369" name="AutoShape 1" hidden="1"/>
        <xdr:cNvSpPr>
          <a:spLocks noChangeAspect="1" noChangeArrowheads="1"/>
        </xdr:cNvSpPr>
      </xdr:nvSpPr>
      <xdr:spPr bwMode="auto">
        <a:xfrm>
          <a:off x="10783019" y="327804"/>
          <a:ext cx="29128889" cy="493683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36</xdr:col>
      <xdr:colOff>1139815</xdr:colOff>
      <xdr:row>4</xdr:row>
      <xdr:rowOff>295275</xdr:rowOff>
    </xdr:to>
    <xdr:sp macro="" textlink="">
      <xdr:nvSpPr>
        <xdr:cNvPr id="20370" name="AutoShape 1" hidden="1"/>
        <xdr:cNvSpPr>
          <a:spLocks noChangeAspect="1" noChangeArrowheads="1"/>
        </xdr:cNvSpPr>
      </xdr:nvSpPr>
      <xdr:spPr bwMode="auto">
        <a:xfrm>
          <a:off x="10783019" y="327804"/>
          <a:ext cx="29115279" cy="493683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37</xdr:col>
      <xdr:colOff>208701</xdr:colOff>
      <xdr:row>4</xdr:row>
      <xdr:rowOff>295275</xdr:rowOff>
    </xdr:to>
    <xdr:sp macro="" textlink="">
      <xdr:nvSpPr>
        <xdr:cNvPr id="20371" name="AutoShape 1" hidden="1"/>
        <xdr:cNvSpPr>
          <a:spLocks noChangeAspect="1" noChangeArrowheads="1"/>
        </xdr:cNvSpPr>
      </xdr:nvSpPr>
      <xdr:spPr bwMode="auto">
        <a:xfrm>
          <a:off x="10783019" y="327804"/>
          <a:ext cx="29322852" cy="493683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37</xdr:col>
      <xdr:colOff>277975</xdr:colOff>
      <xdr:row>4</xdr:row>
      <xdr:rowOff>295275</xdr:rowOff>
    </xdr:to>
    <xdr:sp macro="" textlink="">
      <xdr:nvSpPr>
        <xdr:cNvPr id="20372" name="AutoShape 1" hidden="1"/>
        <xdr:cNvSpPr>
          <a:spLocks noChangeAspect="1" noChangeArrowheads="1"/>
        </xdr:cNvSpPr>
      </xdr:nvSpPr>
      <xdr:spPr bwMode="auto">
        <a:xfrm>
          <a:off x="10783019" y="327804"/>
          <a:ext cx="2939212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42</xdr:col>
      <xdr:colOff>1047997</xdr:colOff>
      <xdr:row>4</xdr:row>
      <xdr:rowOff>295275</xdr:rowOff>
    </xdr:to>
    <xdr:sp macro="" textlink="">
      <xdr:nvSpPr>
        <xdr:cNvPr id="20373" name="AutoShape 1" hidden="1"/>
        <xdr:cNvSpPr>
          <a:spLocks noChangeAspect="1" noChangeArrowheads="1"/>
        </xdr:cNvSpPr>
      </xdr:nvSpPr>
      <xdr:spPr bwMode="auto">
        <a:xfrm>
          <a:off x="4313208" y="327804"/>
          <a:ext cx="4202346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42</xdr:col>
      <xdr:colOff>830654</xdr:colOff>
      <xdr:row>4</xdr:row>
      <xdr:rowOff>295275</xdr:rowOff>
    </xdr:to>
    <xdr:sp macro="" textlink="">
      <xdr:nvSpPr>
        <xdr:cNvPr id="20374" name="AutoShape 1" hidden="1"/>
        <xdr:cNvSpPr>
          <a:spLocks noChangeAspect="1" noChangeArrowheads="1"/>
        </xdr:cNvSpPr>
      </xdr:nvSpPr>
      <xdr:spPr bwMode="auto">
        <a:xfrm>
          <a:off x="4313208" y="327804"/>
          <a:ext cx="418061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42</xdr:col>
      <xdr:colOff>805542</xdr:colOff>
      <xdr:row>4</xdr:row>
      <xdr:rowOff>295275</xdr:rowOff>
    </xdr:to>
    <xdr:sp macro="" textlink="">
      <xdr:nvSpPr>
        <xdr:cNvPr id="20375" name="AutoShape 1" hidden="1"/>
        <xdr:cNvSpPr>
          <a:spLocks noChangeAspect="1" noChangeArrowheads="1"/>
        </xdr:cNvSpPr>
      </xdr:nvSpPr>
      <xdr:spPr bwMode="auto">
        <a:xfrm>
          <a:off x="4313208" y="327804"/>
          <a:ext cx="41781013" cy="493683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2</xdr:row>
      <xdr:rowOff>0</xdr:rowOff>
    </xdr:from>
    <xdr:to>
      <xdr:col>31</xdr:col>
      <xdr:colOff>108893</xdr:colOff>
      <xdr:row>4</xdr:row>
      <xdr:rowOff>295275</xdr:rowOff>
    </xdr:to>
    <xdr:sp macro="" textlink="">
      <xdr:nvSpPr>
        <xdr:cNvPr id="20376" name="AutoShape 1" hidden="1"/>
        <xdr:cNvSpPr>
          <a:spLocks noChangeAspect="1" noChangeArrowheads="1"/>
        </xdr:cNvSpPr>
      </xdr:nvSpPr>
      <xdr:spPr bwMode="auto">
        <a:xfrm>
          <a:off x="19409434" y="327804"/>
          <a:ext cx="1412681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42</xdr:col>
      <xdr:colOff>1024617</xdr:colOff>
      <xdr:row>4</xdr:row>
      <xdr:rowOff>295275</xdr:rowOff>
    </xdr:to>
    <xdr:sp macro="" textlink="">
      <xdr:nvSpPr>
        <xdr:cNvPr id="20377" name="AutoShape 1" hidden="1"/>
        <xdr:cNvSpPr>
          <a:spLocks noChangeAspect="1" noChangeArrowheads="1"/>
        </xdr:cNvSpPr>
      </xdr:nvSpPr>
      <xdr:spPr bwMode="auto">
        <a:xfrm>
          <a:off x="4313208" y="327804"/>
          <a:ext cx="4200008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8659</xdr:rowOff>
    </xdr:from>
    <xdr:to>
      <xdr:col>42</xdr:col>
      <xdr:colOff>1093891</xdr:colOff>
      <xdr:row>4</xdr:row>
      <xdr:rowOff>303934</xdr:rowOff>
    </xdr:to>
    <xdr:sp macro="" textlink="">
      <xdr:nvSpPr>
        <xdr:cNvPr id="20378" name="AutoShape 1" hidden="1"/>
        <xdr:cNvSpPr>
          <a:spLocks noChangeAspect="1" noChangeArrowheads="1"/>
        </xdr:cNvSpPr>
      </xdr:nvSpPr>
      <xdr:spPr bwMode="auto">
        <a:xfrm>
          <a:off x="4313208" y="336463"/>
          <a:ext cx="42052109" cy="485056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37</xdr:col>
      <xdr:colOff>234417</xdr:colOff>
      <xdr:row>4</xdr:row>
      <xdr:rowOff>295275</xdr:rowOff>
    </xdr:to>
    <xdr:sp macro="" textlink="">
      <xdr:nvSpPr>
        <xdr:cNvPr id="20379" name="AutoShape 1" hidden="1"/>
        <xdr:cNvSpPr>
          <a:spLocks noChangeAspect="1" noChangeArrowheads="1"/>
        </xdr:cNvSpPr>
      </xdr:nvSpPr>
      <xdr:spPr bwMode="auto">
        <a:xfrm>
          <a:off x="11861321" y="327804"/>
          <a:ext cx="28270266" cy="493683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37</xdr:col>
      <xdr:colOff>17074</xdr:colOff>
      <xdr:row>4</xdr:row>
      <xdr:rowOff>295275</xdr:rowOff>
    </xdr:to>
    <xdr:sp macro="" textlink="">
      <xdr:nvSpPr>
        <xdr:cNvPr id="20380" name="AutoShape 1" hidden="1"/>
        <xdr:cNvSpPr>
          <a:spLocks noChangeAspect="1" noChangeArrowheads="1"/>
        </xdr:cNvSpPr>
      </xdr:nvSpPr>
      <xdr:spPr bwMode="auto">
        <a:xfrm>
          <a:off x="11861321" y="327804"/>
          <a:ext cx="28052923" cy="493683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36</xdr:col>
      <xdr:colOff>1142151</xdr:colOff>
      <xdr:row>4</xdr:row>
      <xdr:rowOff>295275</xdr:rowOff>
    </xdr:to>
    <xdr:sp macro="" textlink="">
      <xdr:nvSpPr>
        <xdr:cNvPr id="20381" name="AutoShape 1" hidden="1"/>
        <xdr:cNvSpPr>
          <a:spLocks noChangeAspect="1" noChangeArrowheads="1"/>
        </xdr:cNvSpPr>
      </xdr:nvSpPr>
      <xdr:spPr bwMode="auto">
        <a:xfrm>
          <a:off x="11861321" y="327804"/>
          <a:ext cx="28039313" cy="493683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37</xdr:col>
      <xdr:colOff>211037</xdr:colOff>
      <xdr:row>4</xdr:row>
      <xdr:rowOff>295275</xdr:rowOff>
    </xdr:to>
    <xdr:sp macro="" textlink="">
      <xdr:nvSpPr>
        <xdr:cNvPr id="20382" name="AutoShape 1" hidden="1"/>
        <xdr:cNvSpPr>
          <a:spLocks noChangeAspect="1" noChangeArrowheads="1"/>
        </xdr:cNvSpPr>
      </xdr:nvSpPr>
      <xdr:spPr bwMode="auto">
        <a:xfrm>
          <a:off x="11861321" y="327804"/>
          <a:ext cx="28246886" cy="493683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37</xdr:col>
      <xdr:colOff>280311</xdr:colOff>
      <xdr:row>4</xdr:row>
      <xdr:rowOff>295275</xdr:rowOff>
    </xdr:to>
    <xdr:sp macro="" textlink="">
      <xdr:nvSpPr>
        <xdr:cNvPr id="20383" name="AutoShape 1" hidden="1"/>
        <xdr:cNvSpPr>
          <a:spLocks noChangeAspect="1" noChangeArrowheads="1"/>
        </xdr:cNvSpPr>
      </xdr:nvSpPr>
      <xdr:spPr bwMode="auto">
        <a:xfrm>
          <a:off x="11861321" y="327804"/>
          <a:ext cx="2831616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43</xdr:col>
      <xdr:colOff>842222</xdr:colOff>
      <xdr:row>4</xdr:row>
      <xdr:rowOff>295275</xdr:rowOff>
    </xdr:to>
    <xdr:sp macro="" textlink="">
      <xdr:nvSpPr>
        <xdr:cNvPr id="20384" name="AutoShape 1" hidden="1"/>
        <xdr:cNvSpPr>
          <a:spLocks noChangeAspect="1" noChangeArrowheads="1"/>
        </xdr:cNvSpPr>
      </xdr:nvSpPr>
      <xdr:spPr bwMode="auto">
        <a:xfrm>
          <a:off x="4313208" y="327804"/>
          <a:ext cx="4289599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43</xdr:col>
      <xdr:colOff>624879</xdr:colOff>
      <xdr:row>4</xdr:row>
      <xdr:rowOff>295275</xdr:rowOff>
    </xdr:to>
    <xdr:sp macro="" textlink="">
      <xdr:nvSpPr>
        <xdr:cNvPr id="20385" name="AutoShape 1" hidden="1"/>
        <xdr:cNvSpPr>
          <a:spLocks noChangeAspect="1" noChangeArrowheads="1"/>
        </xdr:cNvSpPr>
      </xdr:nvSpPr>
      <xdr:spPr bwMode="auto">
        <a:xfrm>
          <a:off x="4313208" y="327804"/>
          <a:ext cx="426786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43</xdr:col>
      <xdr:colOff>599767</xdr:colOff>
      <xdr:row>4</xdr:row>
      <xdr:rowOff>295275</xdr:rowOff>
    </xdr:to>
    <xdr:sp macro="" textlink="">
      <xdr:nvSpPr>
        <xdr:cNvPr id="20386" name="AutoShape 1" hidden="1"/>
        <xdr:cNvSpPr>
          <a:spLocks noChangeAspect="1" noChangeArrowheads="1"/>
        </xdr:cNvSpPr>
      </xdr:nvSpPr>
      <xdr:spPr bwMode="auto">
        <a:xfrm>
          <a:off x="4313208" y="327804"/>
          <a:ext cx="42653540" cy="493683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2</xdr:row>
      <xdr:rowOff>0</xdr:rowOff>
    </xdr:from>
    <xdr:to>
      <xdr:col>31</xdr:col>
      <xdr:colOff>108896</xdr:colOff>
      <xdr:row>4</xdr:row>
      <xdr:rowOff>295275</xdr:rowOff>
    </xdr:to>
    <xdr:sp macro="" textlink="">
      <xdr:nvSpPr>
        <xdr:cNvPr id="20387" name="AutoShape 1" hidden="1"/>
        <xdr:cNvSpPr>
          <a:spLocks noChangeAspect="1" noChangeArrowheads="1"/>
        </xdr:cNvSpPr>
      </xdr:nvSpPr>
      <xdr:spPr bwMode="auto">
        <a:xfrm>
          <a:off x="20487736" y="327804"/>
          <a:ext cx="1304851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43</xdr:col>
      <xdr:colOff>818842</xdr:colOff>
      <xdr:row>4</xdr:row>
      <xdr:rowOff>295275</xdr:rowOff>
    </xdr:to>
    <xdr:sp macro="" textlink="">
      <xdr:nvSpPr>
        <xdr:cNvPr id="20388" name="AutoShape 1" hidden="1"/>
        <xdr:cNvSpPr>
          <a:spLocks noChangeAspect="1" noChangeArrowheads="1"/>
        </xdr:cNvSpPr>
      </xdr:nvSpPr>
      <xdr:spPr bwMode="auto">
        <a:xfrm>
          <a:off x="4313208" y="327804"/>
          <a:ext cx="4287261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43</xdr:col>
      <xdr:colOff>888116</xdr:colOff>
      <xdr:row>4</xdr:row>
      <xdr:rowOff>295275</xdr:rowOff>
    </xdr:to>
    <xdr:sp macro="" textlink="">
      <xdr:nvSpPr>
        <xdr:cNvPr id="20389" name="AutoShape 1" hidden="1"/>
        <xdr:cNvSpPr>
          <a:spLocks noChangeAspect="1" noChangeArrowheads="1"/>
        </xdr:cNvSpPr>
      </xdr:nvSpPr>
      <xdr:spPr bwMode="auto">
        <a:xfrm>
          <a:off x="4313208" y="327804"/>
          <a:ext cx="42941889" cy="493683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37</xdr:col>
      <xdr:colOff>236755</xdr:colOff>
      <xdr:row>4</xdr:row>
      <xdr:rowOff>295275</xdr:rowOff>
    </xdr:to>
    <xdr:sp macro="" textlink="">
      <xdr:nvSpPr>
        <xdr:cNvPr id="20390" name="AutoShape 1" hidden="1"/>
        <xdr:cNvSpPr>
          <a:spLocks noChangeAspect="1" noChangeArrowheads="1"/>
        </xdr:cNvSpPr>
      </xdr:nvSpPr>
      <xdr:spPr bwMode="auto">
        <a:xfrm>
          <a:off x="12939623" y="327804"/>
          <a:ext cx="27194302" cy="493683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37</xdr:col>
      <xdr:colOff>19412</xdr:colOff>
      <xdr:row>4</xdr:row>
      <xdr:rowOff>295275</xdr:rowOff>
    </xdr:to>
    <xdr:sp macro="" textlink="">
      <xdr:nvSpPr>
        <xdr:cNvPr id="20391" name="AutoShape 1" hidden="1"/>
        <xdr:cNvSpPr>
          <a:spLocks noChangeAspect="1" noChangeArrowheads="1"/>
        </xdr:cNvSpPr>
      </xdr:nvSpPr>
      <xdr:spPr bwMode="auto">
        <a:xfrm>
          <a:off x="12939623" y="327804"/>
          <a:ext cx="26976959" cy="493683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36</xdr:col>
      <xdr:colOff>1144489</xdr:colOff>
      <xdr:row>4</xdr:row>
      <xdr:rowOff>295275</xdr:rowOff>
    </xdr:to>
    <xdr:sp macro="" textlink="">
      <xdr:nvSpPr>
        <xdr:cNvPr id="20392" name="AutoShape 1" hidden="1"/>
        <xdr:cNvSpPr>
          <a:spLocks noChangeAspect="1" noChangeArrowheads="1"/>
        </xdr:cNvSpPr>
      </xdr:nvSpPr>
      <xdr:spPr bwMode="auto">
        <a:xfrm>
          <a:off x="12939623" y="327804"/>
          <a:ext cx="26954723" cy="493683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37</xdr:col>
      <xdr:colOff>213375</xdr:colOff>
      <xdr:row>4</xdr:row>
      <xdr:rowOff>295275</xdr:rowOff>
    </xdr:to>
    <xdr:sp macro="" textlink="">
      <xdr:nvSpPr>
        <xdr:cNvPr id="20393" name="AutoShape 1" hidden="1"/>
        <xdr:cNvSpPr>
          <a:spLocks noChangeAspect="1" noChangeArrowheads="1"/>
        </xdr:cNvSpPr>
      </xdr:nvSpPr>
      <xdr:spPr bwMode="auto">
        <a:xfrm>
          <a:off x="12939623" y="327804"/>
          <a:ext cx="27170922" cy="493683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37</xdr:col>
      <xdr:colOff>282649</xdr:colOff>
      <xdr:row>4</xdr:row>
      <xdr:rowOff>295275</xdr:rowOff>
    </xdr:to>
    <xdr:sp macro="" textlink="">
      <xdr:nvSpPr>
        <xdr:cNvPr id="20394" name="AutoShape 1" hidden="1"/>
        <xdr:cNvSpPr>
          <a:spLocks noChangeAspect="1" noChangeArrowheads="1"/>
        </xdr:cNvSpPr>
      </xdr:nvSpPr>
      <xdr:spPr bwMode="auto">
        <a:xfrm>
          <a:off x="12939623" y="327804"/>
          <a:ext cx="27240196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1432214</xdr:colOff>
      <xdr:row>15</xdr:row>
      <xdr:rowOff>300106</xdr:rowOff>
    </xdr:to>
    <xdr:sp macro="" textlink="">
      <xdr:nvSpPr>
        <xdr:cNvPr id="20395" name="AutoShape 1" hidden="1"/>
        <xdr:cNvSpPr>
          <a:spLocks noChangeAspect="1" noChangeArrowheads="1"/>
        </xdr:cNvSpPr>
      </xdr:nvSpPr>
      <xdr:spPr bwMode="auto">
        <a:xfrm>
          <a:off x="2156604" y="2130725"/>
          <a:ext cx="1078531" cy="489886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51289</xdr:colOff>
      <xdr:row>4</xdr:row>
      <xdr:rowOff>95249</xdr:rowOff>
    </xdr:from>
    <xdr:to>
      <xdr:col>37</xdr:col>
      <xdr:colOff>160866</xdr:colOff>
      <xdr:row>7</xdr:row>
      <xdr:rowOff>74734</xdr:rowOff>
    </xdr:to>
    <xdr:sp macro="" textlink="">
      <xdr:nvSpPr>
        <xdr:cNvPr id="20396" name="AutoShape 1" hidden="1"/>
        <xdr:cNvSpPr>
          <a:spLocks noChangeAspect="1" noChangeArrowheads="1"/>
        </xdr:cNvSpPr>
      </xdr:nvSpPr>
      <xdr:spPr bwMode="auto">
        <a:xfrm>
          <a:off x="37791855" y="750857"/>
          <a:ext cx="2266181" cy="471190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51289</xdr:colOff>
      <xdr:row>4</xdr:row>
      <xdr:rowOff>95249</xdr:rowOff>
    </xdr:from>
    <xdr:to>
      <xdr:col>37</xdr:col>
      <xdr:colOff>160866</xdr:colOff>
      <xdr:row>7</xdr:row>
      <xdr:rowOff>74734</xdr:rowOff>
    </xdr:to>
    <xdr:sp macro="" textlink="">
      <xdr:nvSpPr>
        <xdr:cNvPr id="20397" name="AutoShape 1" hidden="1"/>
        <xdr:cNvSpPr>
          <a:spLocks noChangeAspect="1" noChangeArrowheads="1"/>
        </xdr:cNvSpPr>
      </xdr:nvSpPr>
      <xdr:spPr bwMode="auto">
        <a:xfrm>
          <a:off x="37791855" y="750857"/>
          <a:ext cx="2266181" cy="471190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3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39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4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4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4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0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4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0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0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0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0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0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1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1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1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1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1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1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1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1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2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2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2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2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2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2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3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3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3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3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3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4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43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44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4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4</xdr:row>
      <xdr:rowOff>237624</xdr:rowOff>
    </xdr:from>
    <xdr:to>
      <xdr:col>37</xdr:col>
      <xdr:colOff>396994</xdr:colOff>
      <xdr:row>7</xdr:row>
      <xdr:rowOff>142374</xdr:rowOff>
    </xdr:to>
    <xdr:sp macro="" textlink="">
      <xdr:nvSpPr>
        <xdr:cNvPr id="20442" name="AutoShape 1"/>
        <xdr:cNvSpPr>
          <a:spLocks noChangeAspect="1" noChangeArrowheads="1"/>
        </xdr:cNvSpPr>
      </xdr:nvSpPr>
      <xdr:spPr bwMode="auto">
        <a:xfrm>
          <a:off x="37740566" y="815594"/>
          <a:ext cx="2553598" cy="474093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4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4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4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5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5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5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5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5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5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5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5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6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6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6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6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6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6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6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7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47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7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47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47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47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48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48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48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48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48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4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48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48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48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4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49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49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49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4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4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49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49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4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49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49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0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0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0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50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50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051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051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51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51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051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051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1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1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2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2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2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4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4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4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5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5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5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5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5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56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56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056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056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5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5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05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05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5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5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5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6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60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60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60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61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61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61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61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061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061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616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61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0618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0619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62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62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62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6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6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6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6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6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6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6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6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6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4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4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4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64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64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5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29</xdr:col>
      <xdr:colOff>0</xdr:colOff>
      <xdr:row>5</xdr:row>
      <xdr:rowOff>151899</xdr:rowOff>
    </xdr:from>
    <xdr:to>
      <xdr:col>29</xdr:col>
      <xdr:colOff>1052185</xdr:colOff>
      <xdr:row>8</xdr:row>
      <xdr:rowOff>56649</xdr:rowOff>
    </xdr:to>
    <xdr:sp macro="" textlink="">
      <xdr:nvSpPr>
        <xdr:cNvPr id="20652" name="AutoShape 1"/>
        <xdr:cNvSpPr>
          <a:spLocks noChangeAspect="1" noChangeArrowheads="1"/>
        </xdr:cNvSpPr>
      </xdr:nvSpPr>
      <xdr:spPr bwMode="auto">
        <a:xfrm>
          <a:off x="31270755" y="971408"/>
          <a:ext cx="1052185" cy="396456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65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5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5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6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65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6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66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66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66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6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6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6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7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7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67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67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67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67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7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7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8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8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8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8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68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68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68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68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9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9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9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6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6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69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69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4</xdr:row>
      <xdr:rowOff>237624</xdr:rowOff>
    </xdr:from>
    <xdr:to>
      <xdr:col>37</xdr:col>
      <xdr:colOff>396994</xdr:colOff>
      <xdr:row>7</xdr:row>
      <xdr:rowOff>142374</xdr:rowOff>
    </xdr:to>
    <xdr:sp macro="" textlink="">
      <xdr:nvSpPr>
        <xdr:cNvPr id="20698" name="AutoShape 1"/>
        <xdr:cNvSpPr>
          <a:spLocks noChangeAspect="1" noChangeArrowheads="1"/>
        </xdr:cNvSpPr>
      </xdr:nvSpPr>
      <xdr:spPr bwMode="auto">
        <a:xfrm>
          <a:off x="37740566" y="815594"/>
          <a:ext cx="2553598" cy="474093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69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70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70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0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0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0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0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0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0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0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0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71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71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71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71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1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1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1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1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72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72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72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072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3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3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73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3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3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73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73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3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74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7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7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7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7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7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7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7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7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7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7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7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76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76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076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076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7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7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07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07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7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7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7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7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7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7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7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7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7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7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7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7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7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7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7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0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0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0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1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1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1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1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1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1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1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82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821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0822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0823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82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82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082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082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4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4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4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5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5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5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5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5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6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6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8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8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08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08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87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087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087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087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8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8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8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90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090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9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9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090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90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9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09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29</xdr:col>
      <xdr:colOff>0</xdr:colOff>
      <xdr:row>5</xdr:row>
      <xdr:rowOff>151899</xdr:rowOff>
    </xdr:from>
    <xdr:to>
      <xdr:col>29</xdr:col>
      <xdr:colOff>1052185</xdr:colOff>
      <xdr:row>8</xdr:row>
      <xdr:rowOff>56649</xdr:rowOff>
    </xdr:to>
    <xdr:sp macro="" textlink="">
      <xdr:nvSpPr>
        <xdr:cNvPr id="20908" name="AutoShape 1"/>
        <xdr:cNvSpPr>
          <a:spLocks noChangeAspect="1" noChangeArrowheads="1"/>
        </xdr:cNvSpPr>
      </xdr:nvSpPr>
      <xdr:spPr bwMode="auto">
        <a:xfrm>
          <a:off x="31270755" y="971408"/>
          <a:ext cx="1052185" cy="396456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090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09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09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237624</xdr:rowOff>
    </xdr:from>
    <xdr:to>
      <xdr:col>142</xdr:col>
      <xdr:colOff>880630</xdr:colOff>
      <xdr:row>4</xdr:row>
      <xdr:rowOff>218575</xdr:rowOff>
    </xdr:to>
    <xdr:sp macro="" textlink="">
      <xdr:nvSpPr>
        <xdr:cNvPr id="20918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09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09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09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09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09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09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880628</xdr:colOff>
      <xdr:row>4</xdr:row>
      <xdr:rowOff>238126</xdr:rowOff>
    </xdr:to>
    <xdr:sp macro="" textlink="">
      <xdr:nvSpPr>
        <xdr:cNvPr id="209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880628</xdr:colOff>
      <xdr:row>4</xdr:row>
      <xdr:rowOff>238126</xdr:rowOff>
    </xdr:to>
    <xdr:sp macro="" textlink="">
      <xdr:nvSpPr>
        <xdr:cNvPr id="209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880628</xdr:colOff>
      <xdr:row>4</xdr:row>
      <xdr:rowOff>276226</xdr:rowOff>
    </xdr:to>
    <xdr:sp macro="" textlink="">
      <xdr:nvSpPr>
        <xdr:cNvPr id="2094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880628</xdr:colOff>
      <xdr:row>4</xdr:row>
      <xdr:rowOff>238126</xdr:rowOff>
    </xdr:to>
    <xdr:sp macro="" textlink="">
      <xdr:nvSpPr>
        <xdr:cNvPr id="209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880628</xdr:colOff>
      <xdr:row>4</xdr:row>
      <xdr:rowOff>238126</xdr:rowOff>
    </xdr:to>
    <xdr:sp macro="" textlink="">
      <xdr:nvSpPr>
        <xdr:cNvPr id="209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880628</xdr:colOff>
      <xdr:row>4</xdr:row>
      <xdr:rowOff>276226</xdr:rowOff>
    </xdr:to>
    <xdr:sp macro="" textlink="">
      <xdr:nvSpPr>
        <xdr:cNvPr id="2094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094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5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095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5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095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5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095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6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096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096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096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09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097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097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097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097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098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098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098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099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09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099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099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09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00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0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00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00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0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00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00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0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00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00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0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0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0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0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0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0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0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0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01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0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0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0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0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0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02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0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0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02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0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0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03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0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0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03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0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0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03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0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0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03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0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0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04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0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0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0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0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0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2</xdr:row>
      <xdr:rowOff>0</xdr:rowOff>
    </xdr:from>
    <xdr:to>
      <xdr:col>142</xdr:col>
      <xdr:colOff>863313</xdr:colOff>
      <xdr:row>4</xdr:row>
      <xdr:rowOff>295275</xdr:rowOff>
    </xdr:to>
    <xdr:sp macro="" textlink="">
      <xdr:nvSpPr>
        <xdr:cNvPr id="21048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0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0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0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0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0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0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0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0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0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0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0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0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0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0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0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0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0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0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0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0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0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0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0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0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0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0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0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0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0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0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0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0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0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0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0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0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0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0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10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10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0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0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0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10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0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10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0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0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0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0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0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1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1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1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1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1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11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11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1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1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1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1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1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1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1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1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1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1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1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1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1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1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1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1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1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1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1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1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1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1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1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1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237624</xdr:rowOff>
    </xdr:from>
    <xdr:to>
      <xdr:col>142</xdr:col>
      <xdr:colOff>837334</xdr:colOff>
      <xdr:row>4</xdr:row>
      <xdr:rowOff>218575</xdr:rowOff>
    </xdr:to>
    <xdr:sp macro="" textlink="">
      <xdr:nvSpPr>
        <xdr:cNvPr id="21131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1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1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1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1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1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1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1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1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1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1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1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1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1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1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1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1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1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1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1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1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1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1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1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1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1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1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1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1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1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1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1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1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1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1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1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1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1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1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17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1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1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1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1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1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1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1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1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1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1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1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1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1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1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1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1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1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1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1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1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1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1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1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1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1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1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837332</xdr:colOff>
      <xdr:row>4</xdr:row>
      <xdr:rowOff>238126</xdr:rowOff>
    </xdr:to>
    <xdr:sp macro="" textlink="">
      <xdr:nvSpPr>
        <xdr:cNvPr id="211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837332</xdr:colOff>
      <xdr:row>4</xdr:row>
      <xdr:rowOff>238126</xdr:rowOff>
    </xdr:to>
    <xdr:sp macro="" textlink="">
      <xdr:nvSpPr>
        <xdr:cNvPr id="211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904007</xdr:colOff>
      <xdr:row>4</xdr:row>
      <xdr:rowOff>238126</xdr:rowOff>
    </xdr:to>
    <xdr:sp macro="" textlink="">
      <xdr:nvSpPr>
        <xdr:cNvPr id="211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837332</xdr:colOff>
      <xdr:row>4</xdr:row>
      <xdr:rowOff>276226</xdr:rowOff>
    </xdr:to>
    <xdr:sp macro="" textlink="">
      <xdr:nvSpPr>
        <xdr:cNvPr id="2120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837332</xdr:colOff>
      <xdr:row>4</xdr:row>
      <xdr:rowOff>238126</xdr:rowOff>
    </xdr:to>
    <xdr:sp macro="" textlink="">
      <xdr:nvSpPr>
        <xdr:cNvPr id="212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837332</xdr:colOff>
      <xdr:row>4</xdr:row>
      <xdr:rowOff>238126</xdr:rowOff>
    </xdr:to>
    <xdr:sp macro="" textlink="">
      <xdr:nvSpPr>
        <xdr:cNvPr id="212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904007</xdr:colOff>
      <xdr:row>4</xdr:row>
      <xdr:rowOff>238126</xdr:rowOff>
    </xdr:to>
    <xdr:sp macro="" textlink="">
      <xdr:nvSpPr>
        <xdr:cNvPr id="212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837332</xdr:colOff>
      <xdr:row>4</xdr:row>
      <xdr:rowOff>276226</xdr:rowOff>
    </xdr:to>
    <xdr:sp macro="" textlink="">
      <xdr:nvSpPr>
        <xdr:cNvPr id="2120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2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2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2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2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2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2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2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21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2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2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2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21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2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2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2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22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2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22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2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2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2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2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2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2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2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2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2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23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2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2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2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2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2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2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2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2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2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24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2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25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2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25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2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26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2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2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2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26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2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2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2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26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2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27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2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27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2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2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2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28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2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2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2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28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2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2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2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28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2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2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2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29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2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29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2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2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30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3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3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3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30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3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3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3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3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3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3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3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31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3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3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3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31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3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3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3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32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3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3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3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32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3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3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3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3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3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3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3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3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3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3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3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3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3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3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3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3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237624</xdr:rowOff>
    </xdr:from>
    <xdr:to>
      <xdr:col>142</xdr:col>
      <xdr:colOff>904009</xdr:colOff>
      <xdr:row>4</xdr:row>
      <xdr:rowOff>218575</xdr:rowOff>
    </xdr:to>
    <xdr:sp macro="" textlink="">
      <xdr:nvSpPr>
        <xdr:cNvPr id="21341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2</xdr:row>
      <xdr:rowOff>0</xdr:rowOff>
    </xdr:from>
    <xdr:to>
      <xdr:col>142</xdr:col>
      <xdr:colOff>838201</xdr:colOff>
      <xdr:row>4</xdr:row>
      <xdr:rowOff>295275</xdr:rowOff>
    </xdr:to>
    <xdr:sp macro="" textlink="">
      <xdr:nvSpPr>
        <xdr:cNvPr id="21342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3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3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3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3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3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3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3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3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3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3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3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3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3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3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3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3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3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3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3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3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3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3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3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3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3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3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237624</xdr:rowOff>
    </xdr:from>
    <xdr:to>
      <xdr:col>142</xdr:col>
      <xdr:colOff>880630</xdr:colOff>
      <xdr:row>4</xdr:row>
      <xdr:rowOff>218575</xdr:rowOff>
    </xdr:to>
    <xdr:sp macro="" textlink="">
      <xdr:nvSpPr>
        <xdr:cNvPr id="21369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3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3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3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3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3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3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3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37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3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3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38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3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3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38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3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3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38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3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3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38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3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3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880628</xdr:colOff>
      <xdr:row>4</xdr:row>
      <xdr:rowOff>238126</xdr:rowOff>
    </xdr:to>
    <xdr:sp macro="" textlink="">
      <xdr:nvSpPr>
        <xdr:cNvPr id="213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880628</xdr:colOff>
      <xdr:row>4</xdr:row>
      <xdr:rowOff>238126</xdr:rowOff>
    </xdr:to>
    <xdr:sp macro="" textlink="">
      <xdr:nvSpPr>
        <xdr:cNvPr id="213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880628</xdr:colOff>
      <xdr:row>4</xdr:row>
      <xdr:rowOff>276226</xdr:rowOff>
    </xdr:to>
    <xdr:sp macro="" textlink="">
      <xdr:nvSpPr>
        <xdr:cNvPr id="2139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880628</xdr:colOff>
      <xdr:row>4</xdr:row>
      <xdr:rowOff>238126</xdr:rowOff>
    </xdr:to>
    <xdr:sp macro="" textlink="">
      <xdr:nvSpPr>
        <xdr:cNvPr id="213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880628</xdr:colOff>
      <xdr:row>4</xdr:row>
      <xdr:rowOff>238126</xdr:rowOff>
    </xdr:to>
    <xdr:sp macro="" textlink="">
      <xdr:nvSpPr>
        <xdr:cNvPr id="213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880628</xdr:colOff>
      <xdr:row>4</xdr:row>
      <xdr:rowOff>276226</xdr:rowOff>
    </xdr:to>
    <xdr:sp macro="" textlink="">
      <xdr:nvSpPr>
        <xdr:cNvPr id="2139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3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3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40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4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40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40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0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40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0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40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4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4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4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4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41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4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4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4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42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42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43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43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43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43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44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4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44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45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4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4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45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4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4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45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46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4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4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46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4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47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47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48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48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4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48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4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4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49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4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4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49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4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4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2</xdr:row>
      <xdr:rowOff>0</xdr:rowOff>
    </xdr:from>
    <xdr:to>
      <xdr:col>142</xdr:col>
      <xdr:colOff>863313</xdr:colOff>
      <xdr:row>4</xdr:row>
      <xdr:rowOff>295275</xdr:rowOff>
    </xdr:to>
    <xdr:sp macro="" textlink="">
      <xdr:nvSpPr>
        <xdr:cNvPr id="21499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5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5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5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5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5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5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5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5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5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5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5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5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5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5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5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5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5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5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5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5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5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5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5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5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15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15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5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5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5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15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5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15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5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5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5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5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15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15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5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5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5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5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5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5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5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5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5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5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5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5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5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237624</xdr:rowOff>
    </xdr:from>
    <xdr:to>
      <xdr:col>142</xdr:col>
      <xdr:colOff>837334</xdr:colOff>
      <xdr:row>4</xdr:row>
      <xdr:rowOff>218575</xdr:rowOff>
    </xdr:to>
    <xdr:sp macro="" textlink="">
      <xdr:nvSpPr>
        <xdr:cNvPr id="21582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5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5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5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5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5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5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5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5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5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5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5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5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6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6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6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6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6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6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6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6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6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6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6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6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6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6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6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6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6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6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6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6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6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62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6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6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6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6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6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6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6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6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6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6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6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6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6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6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63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6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6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6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6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6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6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6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6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6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6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6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837332</xdr:colOff>
      <xdr:row>4</xdr:row>
      <xdr:rowOff>238126</xdr:rowOff>
    </xdr:to>
    <xdr:sp macro="" textlink="">
      <xdr:nvSpPr>
        <xdr:cNvPr id="216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837332</xdr:colOff>
      <xdr:row>4</xdr:row>
      <xdr:rowOff>238126</xdr:rowOff>
    </xdr:to>
    <xdr:sp macro="" textlink="">
      <xdr:nvSpPr>
        <xdr:cNvPr id="216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904007</xdr:colOff>
      <xdr:row>4</xdr:row>
      <xdr:rowOff>238126</xdr:rowOff>
    </xdr:to>
    <xdr:sp macro="" textlink="">
      <xdr:nvSpPr>
        <xdr:cNvPr id="216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837332</xdr:colOff>
      <xdr:row>4</xdr:row>
      <xdr:rowOff>276226</xdr:rowOff>
    </xdr:to>
    <xdr:sp macro="" textlink="">
      <xdr:nvSpPr>
        <xdr:cNvPr id="2165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837332</xdr:colOff>
      <xdr:row>4</xdr:row>
      <xdr:rowOff>238126</xdr:rowOff>
    </xdr:to>
    <xdr:sp macro="" textlink="">
      <xdr:nvSpPr>
        <xdr:cNvPr id="216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837332</xdr:colOff>
      <xdr:row>4</xdr:row>
      <xdr:rowOff>238126</xdr:rowOff>
    </xdr:to>
    <xdr:sp macro="" textlink="">
      <xdr:nvSpPr>
        <xdr:cNvPr id="216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904007</xdr:colOff>
      <xdr:row>4</xdr:row>
      <xdr:rowOff>238126</xdr:rowOff>
    </xdr:to>
    <xdr:sp macro="" textlink="">
      <xdr:nvSpPr>
        <xdr:cNvPr id="216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837332</xdr:colOff>
      <xdr:row>4</xdr:row>
      <xdr:rowOff>276226</xdr:rowOff>
    </xdr:to>
    <xdr:sp macro="" textlink="">
      <xdr:nvSpPr>
        <xdr:cNvPr id="216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6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6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6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65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6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6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6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66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6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6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6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66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6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6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6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67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6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6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6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67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6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6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6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6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6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6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6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6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6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6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6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68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6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6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6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6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6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6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6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6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6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6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6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69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7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70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7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70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7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71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7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7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7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71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7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7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7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71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7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72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7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72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7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7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7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73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7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7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7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73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7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7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7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73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7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7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7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74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7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74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7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75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7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7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7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75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7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7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7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76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7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7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7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76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7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77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17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17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177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7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7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7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7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7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7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7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7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7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7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7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7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7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7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7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7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237624</xdr:rowOff>
    </xdr:from>
    <xdr:to>
      <xdr:col>142</xdr:col>
      <xdr:colOff>904009</xdr:colOff>
      <xdr:row>4</xdr:row>
      <xdr:rowOff>218575</xdr:rowOff>
    </xdr:to>
    <xdr:sp macro="" textlink="">
      <xdr:nvSpPr>
        <xdr:cNvPr id="21792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2</xdr:row>
      <xdr:rowOff>0</xdr:rowOff>
    </xdr:from>
    <xdr:to>
      <xdr:col>142</xdr:col>
      <xdr:colOff>838201</xdr:colOff>
      <xdr:row>4</xdr:row>
      <xdr:rowOff>295275</xdr:rowOff>
    </xdr:to>
    <xdr:sp macro="" textlink="">
      <xdr:nvSpPr>
        <xdr:cNvPr id="21793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7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7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7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7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7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7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8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8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8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8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8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8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8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8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8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8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8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8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8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8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237624</xdr:rowOff>
    </xdr:from>
    <xdr:to>
      <xdr:col>142</xdr:col>
      <xdr:colOff>880630</xdr:colOff>
      <xdr:row>4</xdr:row>
      <xdr:rowOff>218575</xdr:rowOff>
    </xdr:to>
    <xdr:sp macro="" textlink="">
      <xdr:nvSpPr>
        <xdr:cNvPr id="21820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8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82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83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83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83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84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880628</xdr:colOff>
      <xdr:row>4</xdr:row>
      <xdr:rowOff>238126</xdr:rowOff>
    </xdr:to>
    <xdr:sp macro="" textlink="">
      <xdr:nvSpPr>
        <xdr:cNvPr id="218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880628</xdr:colOff>
      <xdr:row>4</xdr:row>
      <xdr:rowOff>238126</xdr:rowOff>
    </xdr:to>
    <xdr:sp macro="" textlink="">
      <xdr:nvSpPr>
        <xdr:cNvPr id="218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880628</xdr:colOff>
      <xdr:row>4</xdr:row>
      <xdr:rowOff>276226</xdr:rowOff>
    </xdr:to>
    <xdr:sp macro="" textlink="">
      <xdr:nvSpPr>
        <xdr:cNvPr id="218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880628</xdr:colOff>
      <xdr:row>4</xdr:row>
      <xdr:rowOff>238126</xdr:rowOff>
    </xdr:to>
    <xdr:sp macro="" textlink="">
      <xdr:nvSpPr>
        <xdr:cNvPr id="218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880628</xdr:colOff>
      <xdr:row>4</xdr:row>
      <xdr:rowOff>238126</xdr:rowOff>
    </xdr:to>
    <xdr:sp macro="" textlink="">
      <xdr:nvSpPr>
        <xdr:cNvPr id="218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880628</xdr:colOff>
      <xdr:row>4</xdr:row>
      <xdr:rowOff>276226</xdr:rowOff>
    </xdr:to>
    <xdr:sp macro="" textlink="">
      <xdr:nvSpPr>
        <xdr:cNvPr id="2184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85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85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85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86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8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8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86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8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8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87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87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88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88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88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89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89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8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8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8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89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9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9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90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90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9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90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90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9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90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90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9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91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9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9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9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9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9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9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9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9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92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9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9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9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9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9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9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9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9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9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9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9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9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9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9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9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9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19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19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9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9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94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9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19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194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9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9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194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9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19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2</xdr:row>
      <xdr:rowOff>0</xdr:rowOff>
    </xdr:from>
    <xdr:to>
      <xdr:col>142</xdr:col>
      <xdr:colOff>863313</xdr:colOff>
      <xdr:row>4</xdr:row>
      <xdr:rowOff>295275</xdr:rowOff>
    </xdr:to>
    <xdr:sp macro="" textlink="">
      <xdr:nvSpPr>
        <xdr:cNvPr id="21950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9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9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9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19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19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9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19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9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9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9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9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9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9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9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9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9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9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9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9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9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9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9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9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9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9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9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9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19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9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19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9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9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9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19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9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9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9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19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19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19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9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19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19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19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19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19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9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19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19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0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0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0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0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0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0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0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20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20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0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0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0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0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0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0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0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0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0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0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0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0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0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0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0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0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0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0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0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0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0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0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0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0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237624</xdr:rowOff>
    </xdr:from>
    <xdr:to>
      <xdr:col>142</xdr:col>
      <xdr:colOff>837334</xdr:colOff>
      <xdr:row>4</xdr:row>
      <xdr:rowOff>218575</xdr:rowOff>
    </xdr:to>
    <xdr:sp macro="" textlink="">
      <xdr:nvSpPr>
        <xdr:cNvPr id="22033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0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0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0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0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0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0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0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0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0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0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0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0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0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0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0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0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0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0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0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0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0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0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0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0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0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0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0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0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0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0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0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0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0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0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0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0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0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0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07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0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0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0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0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0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0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0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0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0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0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0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0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0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0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08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0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0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0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0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0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0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0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0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0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0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0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837332</xdr:colOff>
      <xdr:row>4</xdr:row>
      <xdr:rowOff>238126</xdr:rowOff>
    </xdr:to>
    <xdr:sp macro="" textlink="">
      <xdr:nvSpPr>
        <xdr:cNvPr id="220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837332</xdr:colOff>
      <xdr:row>4</xdr:row>
      <xdr:rowOff>238126</xdr:rowOff>
    </xdr:to>
    <xdr:sp macro="" textlink="">
      <xdr:nvSpPr>
        <xdr:cNvPr id="221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904007</xdr:colOff>
      <xdr:row>4</xdr:row>
      <xdr:rowOff>238126</xdr:rowOff>
    </xdr:to>
    <xdr:sp macro="" textlink="">
      <xdr:nvSpPr>
        <xdr:cNvPr id="221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837332</xdr:colOff>
      <xdr:row>4</xdr:row>
      <xdr:rowOff>276226</xdr:rowOff>
    </xdr:to>
    <xdr:sp macro="" textlink="">
      <xdr:nvSpPr>
        <xdr:cNvPr id="2210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837332</xdr:colOff>
      <xdr:row>4</xdr:row>
      <xdr:rowOff>238126</xdr:rowOff>
    </xdr:to>
    <xdr:sp macro="" textlink="">
      <xdr:nvSpPr>
        <xdr:cNvPr id="221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837332</xdr:colOff>
      <xdr:row>4</xdr:row>
      <xdr:rowOff>238126</xdr:rowOff>
    </xdr:to>
    <xdr:sp macro="" textlink="">
      <xdr:nvSpPr>
        <xdr:cNvPr id="221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904007</xdr:colOff>
      <xdr:row>4</xdr:row>
      <xdr:rowOff>238126</xdr:rowOff>
    </xdr:to>
    <xdr:sp macro="" textlink="">
      <xdr:nvSpPr>
        <xdr:cNvPr id="221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837332</xdr:colOff>
      <xdr:row>4</xdr:row>
      <xdr:rowOff>276226</xdr:rowOff>
    </xdr:to>
    <xdr:sp macro="" textlink="">
      <xdr:nvSpPr>
        <xdr:cNvPr id="221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1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1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1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11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1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1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1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11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1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1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1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11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1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1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1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12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1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12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1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1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1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1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1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1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1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1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1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1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1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1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1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14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1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1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1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1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1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15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1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15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1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15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1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16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1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1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1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16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1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1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1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17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1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17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1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17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1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1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1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18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1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1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1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18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1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1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1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19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1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1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1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19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1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19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1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2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2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20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2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2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2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2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2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2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2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21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2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2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2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21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2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2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2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21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2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2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2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22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2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2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2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22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2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2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2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2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2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2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2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2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2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2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2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2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2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2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2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2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237624</xdr:rowOff>
    </xdr:from>
    <xdr:to>
      <xdr:col>142</xdr:col>
      <xdr:colOff>904009</xdr:colOff>
      <xdr:row>4</xdr:row>
      <xdr:rowOff>218575</xdr:rowOff>
    </xdr:to>
    <xdr:sp macro="" textlink="">
      <xdr:nvSpPr>
        <xdr:cNvPr id="22243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2</xdr:row>
      <xdr:rowOff>0</xdr:rowOff>
    </xdr:from>
    <xdr:to>
      <xdr:col>142</xdr:col>
      <xdr:colOff>838201</xdr:colOff>
      <xdr:row>4</xdr:row>
      <xdr:rowOff>295275</xdr:rowOff>
    </xdr:to>
    <xdr:sp macro="" textlink="">
      <xdr:nvSpPr>
        <xdr:cNvPr id="22244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2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2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2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2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2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2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2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2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2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2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2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2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2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2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2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2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2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2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2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2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226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2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2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226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2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2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237624</xdr:rowOff>
    </xdr:from>
    <xdr:to>
      <xdr:col>142</xdr:col>
      <xdr:colOff>880630</xdr:colOff>
      <xdr:row>4</xdr:row>
      <xdr:rowOff>218575</xdr:rowOff>
    </xdr:to>
    <xdr:sp macro="" textlink="">
      <xdr:nvSpPr>
        <xdr:cNvPr id="22271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2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2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227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2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2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2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2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227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2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2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228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2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2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228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2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2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228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2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2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229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2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2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880628</xdr:colOff>
      <xdr:row>4</xdr:row>
      <xdr:rowOff>238126</xdr:rowOff>
    </xdr:to>
    <xdr:sp macro="" textlink="">
      <xdr:nvSpPr>
        <xdr:cNvPr id="222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880628</xdr:colOff>
      <xdr:row>4</xdr:row>
      <xdr:rowOff>238126</xdr:rowOff>
    </xdr:to>
    <xdr:sp macro="" textlink="">
      <xdr:nvSpPr>
        <xdr:cNvPr id="222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880628</xdr:colOff>
      <xdr:row>4</xdr:row>
      <xdr:rowOff>276226</xdr:rowOff>
    </xdr:to>
    <xdr:sp macro="" textlink="">
      <xdr:nvSpPr>
        <xdr:cNvPr id="222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880628</xdr:colOff>
      <xdr:row>4</xdr:row>
      <xdr:rowOff>238126</xdr:rowOff>
    </xdr:to>
    <xdr:sp macro="" textlink="">
      <xdr:nvSpPr>
        <xdr:cNvPr id="222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880628</xdr:colOff>
      <xdr:row>4</xdr:row>
      <xdr:rowOff>238126</xdr:rowOff>
    </xdr:to>
    <xdr:sp macro="" textlink="">
      <xdr:nvSpPr>
        <xdr:cNvPr id="222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880628</xdr:colOff>
      <xdr:row>4</xdr:row>
      <xdr:rowOff>276226</xdr:rowOff>
    </xdr:to>
    <xdr:sp macro="" textlink="">
      <xdr:nvSpPr>
        <xdr:cNvPr id="2229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3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3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230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30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3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230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0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230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0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231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23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23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3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3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232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3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3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23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23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23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23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23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23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234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234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234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235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5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235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35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3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235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35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3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235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6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236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236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236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237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237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237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238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238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238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880629</xdr:colOff>
      <xdr:row>4</xdr:row>
      <xdr:rowOff>238126</xdr:rowOff>
    </xdr:to>
    <xdr:sp macro="" textlink="">
      <xdr:nvSpPr>
        <xdr:cNvPr id="223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880629</xdr:colOff>
      <xdr:row>4</xdr:row>
      <xdr:rowOff>276226</xdr:rowOff>
    </xdr:to>
    <xdr:sp macro="" textlink="">
      <xdr:nvSpPr>
        <xdr:cNvPr id="2238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3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3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239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3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880630</xdr:colOff>
      <xdr:row>4</xdr:row>
      <xdr:rowOff>238126</xdr:rowOff>
    </xdr:to>
    <xdr:sp macro="" textlink="">
      <xdr:nvSpPr>
        <xdr:cNvPr id="223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880630</xdr:colOff>
      <xdr:row>4</xdr:row>
      <xdr:rowOff>276226</xdr:rowOff>
    </xdr:to>
    <xdr:sp macro="" textlink="">
      <xdr:nvSpPr>
        <xdr:cNvPr id="2239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880631</xdr:colOff>
      <xdr:row>4</xdr:row>
      <xdr:rowOff>276226</xdr:rowOff>
    </xdr:to>
    <xdr:sp macro="" textlink="">
      <xdr:nvSpPr>
        <xdr:cNvPr id="2239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3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880631</xdr:colOff>
      <xdr:row>4</xdr:row>
      <xdr:rowOff>238126</xdr:rowOff>
    </xdr:to>
    <xdr:sp macro="" textlink="">
      <xdr:nvSpPr>
        <xdr:cNvPr id="224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2</xdr:row>
      <xdr:rowOff>0</xdr:rowOff>
    </xdr:from>
    <xdr:to>
      <xdr:col>142</xdr:col>
      <xdr:colOff>863313</xdr:colOff>
      <xdr:row>4</xdr:row>
      <xdr:rowOff>295275</xdr:rowOff>
    </xdr:to>
    <xdr:sp macro="" textlink="">
      <xdr:nvSpPr>
        <xdr:cNvPr id="22401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4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4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4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4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4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4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4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4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4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4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4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4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4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4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4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4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4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4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4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4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4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4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4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4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24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24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4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4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4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24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4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24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4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4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4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4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24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904876</xdr:colOff>
      <xdr:row>4</xdr:row>
      <xdr:rowOff>238126</xdr:rowOff>
    </xdr:to>
    <xdr:sp macro="" textlink="">
      <xdr:nvSpPr>
        <xdr:cNvPr id="224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4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4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4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4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4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4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4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4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4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4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4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4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4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237624</xdr:rowOff>
    </xdr:from>
    <xdr:to>
      <xdr:col>142</xdr:col>
      <xdr:colOff>837334</xdr:colOff>
      <xdr:row>4</xdr:row>
      <xdr:rowOff>218575</xdr:rowOff>
    </xdr:to>
    <xdr:sp macro="" textlink="">
      <xdr:nvSpPr>
        <xdr:cNvPr id="22484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4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4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4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4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4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4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4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4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4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4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4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4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5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5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5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5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5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5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5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5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5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5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5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908519</xdr:colOff>
      <xdr:row>4</xdr:row>
      <xdr:rowOff>238126</xdr:rowOff>
    </xdr:to>
    <xdr:sp macro="" textlink="">
      <xdr:nvSpPr>
        <xdr:cNvPr id="225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5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5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5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5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5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908520</xdr:colOff>
      <xdr:row>4</xdr:row>
      <xdr:rowOff>238126</xdr:rowOff>
    </xdr:to>
    <xdr:sp macro="" textlink="">
      <xdr:nvSpPr>
        <xdr:cNvPr id="225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5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908522</xdr:colOff>
      <xdr:row>4</xdr:row>
      <xdr:rowOff>238126</xdr:rowOff>
    </xdr:to>
    <xdr:sp macro="" textlink="">
      <xdr:nvSpPr>
        <xdr:cNvPr id="225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5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5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5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52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5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5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5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5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5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5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5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5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5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5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5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5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5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5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5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5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5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5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54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5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5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5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5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5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5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5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837332</xdr:colOff>
      <xdr:row>4</xdr:row>
      <xdr:rowOff>238126</xdr:rowOff>
    </xdr:to>
    <xdr:sp macro="" textlink="">
      <xdr:nvSpPr>
        <xdr:cNvPr id="225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837332</xdr:colOff>
      <xdr:row>4</xdr:row>
      <xdr:rowOff>238126</xdr:rowOff>
    </xdr:to>
    <xdr:sp macro="" textlink="">
      <xdr:nvSpPr>
        <xdr:cNvPr id="225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904007</xdr:colOff>
      <xdr:row>4</xdr:row>
      <xdr:rowOff>238126</xdr:rowOff>
    </xdr:to>
    <xdr:sp macro="" textlink="">
      <xdr:nvSpPr>
        <xdr:cNvPr id="225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837332</xdr:colOff>
      <xdr:row>4</xdr:row>
      <xdr:rowOff>276226</xdr:rowOff>
    </xdr:to>
    <xdr:sp macro="" textlink="">
      <xdr:nvSpPr>
        <xdr:cNvPr id="2255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837332</xdr:colOff>
      <xdr:row>4</xdr:row>
      <xdr:rowOff>238126</xdr:rowOff>
    </xdr:to>
    <xdr:sp macro="" textlink="">
      <xdr:nvSpPr>
        <xdr:cNvPr id="225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837332</xdr:colOff>
      <xdr:row>4</xdr:row>
      <xdr:rowOff>238126</xdr:rowOff>
    </xdr:to>
    <xdr:sp macro="" textlink="">
      <xdr:nvSpPr>
        <xdr:cNvPr id="225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904007</xdr:colOff>
      <xdr:row>4</xdr:row>
      <xdr:rowOff>238126</xdr:rowOff>
    </xdr:to>
    <xdr:sp macro="" textlink="">
      <xdr:nvSpPr>
        <xdr:cNvPr id="225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837332</xdr:colOff>
      <xdr:row>4</xdr:row>
      <xdr:rowOff>276226</xdr:rowOff>
    </xdr:to>
    <xdr:sp macro="" textlink="">
      <xdr:nvSpPr>
        <xdr:cNvPr id="225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5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5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5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56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5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5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5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56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5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5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5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56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5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5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5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57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5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5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5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5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5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5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5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5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5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5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5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5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5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5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5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5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5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5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5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5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5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5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5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59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5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5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6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60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6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60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6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60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6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61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6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6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6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61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6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6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6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62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6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62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6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62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6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6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6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63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6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6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6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63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6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6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6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64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6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6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6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64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6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64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6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65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6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6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6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66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6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6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6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66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6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6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6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66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6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67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837333</xdr:colOff>
      <xdr:row>4</xdr:row>
      <xdr:rowOff>238126</xdr:rowOff>
    </xdr:to>
    <xdr:sp macro="" textlink="">
      <xdr:nvSpPr>
        <xdr:cNvPr id="226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904008</xdr:colOff>
      <xdr:row>4</xdr:row>
      <xdr:rowOff>238126</xdr:rowOff>
    </xdr:to>
    <xdr:sp macro="" textlink="">
      <xdr:nvSpPr>
        <xdr:cNvPr id="226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837333</xdr:colOff>
      <xdr:row>4</xdr:row>
      <xdr:rowOff>276226</xdr:rowOff>
    </xdr:to>
    <xdr:sp macro="" textlink="">
      <xdr:nvSpPr>
        <xdr:cNvPr id="226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6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6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6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6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6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837334</xdr:colOff>
      <xdr:row>4</xdr:row>
      <xdr:rowOff>238126</xdr:rowOff>
    </xdr:to>
    <xdr:sp macro="" textlink="">
      <xdr:nvSpPr>
        <xdr:cNvPr id="226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904009</xdr:colOff>
      <xdr:row>4</xdr:row>
      <xdr:rowOff>238126</xdr:rowOff>
    </xdr:to>
    <xdr:sp macro="" textlink="">
      <xdr:nvSpPr>
        <xdr:cNvPr id="226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837334</xdr:colOff>
      <xdr:row>4</xdr:row>
      <xdr:rowOff>276226</xdr:rowOff>
    </xdr:to>
    <xdr:sp macro="" textlink="">
      <xdr:nvSpPr>
        <xdr:cNvPr id="226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6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908521</xdr:colOff>
      <xdr:row>4</xdr:row>
      <xdr:rowOff>238126</xdr:rowOff>
    </xdr:to>
    <xdr:sp macro="" textlink="">
      <xdr:nvSpPr>
        <xdr:cNvPr id="226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6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6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904010</xdr:colOff>
      <xdr:row>4</xdr:row>
      <xdr:rowOff>238126</xdr:rowOff>
    </xdr:to>
    <xdr:sp macro="" textlink="">
      <xdr:nvSpPr>
        <xdr:cNvPr id="226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295275</xdr:rowOff>
    </xdr:from>
    <xdr:to>
      <xdr:col>142</xdr:col>
      <xdr:colOff>837335</xdr:colOff>
      <xdr:row>4</xdr:row>
      <xdr:rowOff>276226</xdr:rowOff>
    </xdr:to>
    <xdr:sp macro="" textlink="">
      <xdr:nvSpPr>
        <xdr:cNvPr id="226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6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837335</xdr:colOff>
      <xdr:row>4</xdr:row>
      <xdr:rowOff>238126</xdr:rowOff>
    </xdr:to>
    <xdr:sp macro="" textlink="">
      <xdr:nvSpPr>
        <xdr:cNvPr id="226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237624</xdr:rowOff>
    </xdr:from>
    <xdr:to>
      <xdr:col>142</xdr:col>
      <xdr:colOff>904009</xdr:colOff>
      <xdr:row>4</xdr:row>
      <xdr:rowOff>218575</xdr:rowOff>
    </xdr:to>
    <xdr:sp macro="" textlink="">
      <xdr:nvSpPr>
        <xdr:cNvPr id="22694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2</xdr:row>
      <xdr:rowOff>0</xdr:rowOff>
    </xdr:from>
    <xdr:to>
      <xdr:col>142</xdr:col>
      <xdr:colOff>838201</xdr:colOff>
      <xdr:row>4</xdr:row>
      <xdr:rowOff>295275</xdr:rowOff>
    </xdr:to>
    <xdr:sp macro="" textlink="">
      <xdr:nvSpPr>
        <xdr:cNvPr id="22695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6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6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6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6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7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7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7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7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7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7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7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7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7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904875</xdr:colOff>
      <xdr:row>4</xdr:row>
      <xdr:rowOff>238126</xdr:rowOff>
    </xdr:to>
    <xdr:sp macro="" textlink="">
      <xdr:nvSpPr>
        <xdr:cNvPr id="227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7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7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7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1</xdr:row>
      <xdr:rowOff>257175</xdr:rowOff>
    </xdr:from>
    <xdr:to>
      <xdr:col>142</xdr:col>
      <xdr:colOff>904874</xdr:colOff>
      <xdr:row>4</xdr:row>
      <xdr:rowOff>238126</xdr:rowOff>
    </xdr:to>
    <xdr:sp macro="" textlink="">
      <xdr:nvSpPr>
        <xdr:cNvPr id="227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20</xdr:row>
      <xdr:rowOff>237624</xdr:rowOff>
    </xdr:from>
    <xdr:to>
      <xdr:col>145</xdr:col>
      <xdr:colOff>755471</xdr:colOff>
      <xdr:row>23</xdr:row>
      <xdr:rowOff>142374</xdr:rowOff>
    </xdr:to>
    <xdr:sp macro="" textlink="">
      <xdr:nvSpPr>
        <xdr:cNvPr id="22714" name="AutoShape 1"/>
        <xdr:cNvSpPr>
          <a:spLocks noChangeAspect="1" noChangeArrowheads="1"/>
        </xdr:cNvSpPr>
      </xdr:nvSpPr>
      <xdr:spPr bwMode="auto">
        <a:xfrm>
          <a:off x="158510377" y="3438024"/>
          <a:ext cx="2912076" cy="474093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21</xdr:row>
      <xdr:rowOff>151899</xdr:rowOff>
    </xdr:from>
    <xdr:to>
      <xdr:col>143</xdr:col>
      <xdr:colOff>1195959</xdr:colOff>
      <xdr:row>24</xdr:row>
      <xdr:rowOff>56649</xdr:rowOff>
    </xdr:to>
    <xdr:sp macro="" textlink="">
      <xdr:nvSpPr>
        <xdr:cNvPr id="22715" name="AutoShape 1"/>
        <xdr:cNvSpPr>
          <a:spLocks noChangeAspect="1" noChangeArrowheads="1"/>
        </xdr:cNvSpPr>
      </xdr:nvSpPr>
      <xdr:spPr bwMode="auto">
        <a:xfrm>
          <a:off x="158510377" y="3593839"/>
          <a:ext cx="1075189" cy="39645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20</xdr:row>
      <xdr:rowOff>237624</xdr:rowOff>
    </xdr:from>
    <xdr:to>
      <xdr:col>145</xdr:col>
      <xdr:colOff>755471</xdr:colOff>
      <xdr:row>23</xdr:row>
      <xdr:rowOff>142374</xdr:rowOff>
    </xdr:to>
    <xdr:sp macro="" textlink="">
      <xdr:nvSpPr>
        <xdr:cNvPr id="22716" name="AutoShape 1"/>
        <xdr:cNvSpPr>
          <a:spLocks noChangeAspect="1" noChangeArrowheads="1"/>
        </xdr:cNvSpPr>
      </xdr:nvSpPr>
      <xdr:spPr bwMode="auto">
        <a:xfrm>
          <a:off x="158510377" y="3438024"/>
          <a:ext cx="2912076" cy="474093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21</xdr:row>
      <xdr:rowOff>151899</xdr:rowOff>
    </xdr:from>
    <xdr:to>
      <xdr:col>143</xdr:col>
      <xdr:colOff>1195959</xdr:colOff>
      <xdr:row>24</xdr:row>
      <xdr:rowOff>56649</xdr:rowOff>
    </xdr:to>
    <xdr:sp macro="" textlink="">
      <xdr:nvSpPr>
        <xdr:cNvPr id="22717" name="AutoShape 1"/>
        <xdr:cNvSpPr>
          <a:spLocks noChangeAspect="1" noChangeArrowheads="1"/>
        </xdr:cNvSpPr>
      </xdr:nvSpPr>
      <xdr:spPr bwMode="auto">
        <a:xfrm>
          <a:off x="158510377" y="3593839"/>
          <a:ext cx="1075189" cy="396455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7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7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27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27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237624</xdr:rowOff>
    </xdr:from>
    <xdr:to>
      <xdr:col>46</xdr:col>
      <xdr:colOff>880630</xdr:colOff>
      <xdr:row>4</xdr:row>
      <xdr:rowOff>218575</xdr:rowOff>
    </xdr:to>
    <xdr:sp macro="" textlink="">
      <xdr:nvSpPr>
        <xdr:cNvPr id="22726" name="AutoShape 1" hidden="1"/>
        <xdr:cNvSpPr>
          <a:spLocks noChangeAspect="1" noChangeArrowheads="1"/>
        </xdr:cNvSpPr>
      </xdr:nvSpPr>
      <xdr:spPr bwMode="auto">
        <a:xfrm>
          <a:off x="38818868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27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73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7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273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73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7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273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3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274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4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274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74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7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274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74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7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880628</xdr:colOff>
      <xdr:row>4</xdr:row>
      <xdr:rowOff>238126</xdr:rowOff>
    </xdr:to>
    <xdr:sp macro="" textlink="">
      <xdr:nvSpPr>
        <xdr:cNvPr id="227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880628</xdr:colOff>
      <xdr:row>4</xdr:row>
      <xdr:rowOff>238126</xdr:rowOff>
    </xdr:to>
    <xdr:sp macro="" textlink="">
      <xdr:nvSpPr>
        <xdr:cNvPr id="2275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880628</xdr:colOff>
      <xdr:row>4</xdr:row>
      <xdr:rowOff>276226</xdr:rowOff>
    </xdr:to>
    <xdr:sp macro="" textlink="">
      <xdr:nvSpPr>
        <xdr:cNvPr id="2275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880628</xdr:colOff>
      <xdr:row>4</xdr:row>
      <xdr:rowOff>238126</xdr:rowOff>
    </xdr:to>
    <xdr:sp macro="" textlink="">
      <xdr:nvSpPr>
        <xdr:cNvPr id="227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880628</xdr:colOff>
      <xdr:row>4</xdr:row>
      <xdr:rowOff>238126</xdr:rowOff>
    </xdr:to>
    <xdr:sp macro="" textlink="">
      <xdr:nvSpPr>
        <xdr:cNvPr id="2275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880628</xdr:colOff>
      <xdr:row>4</xdr:row>
      <xdr:rowOff>276226</xdr:rowOff>
    </xdr:to>
    <xdr:sp macro="" textlink="">
      <xdr:nvSpPr>
        <xdr:cNvPr id="2275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5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275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5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5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276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76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76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276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76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76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276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76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76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276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7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77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277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7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277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77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277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7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78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278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7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78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278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78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78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278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78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78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279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79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79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279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79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79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279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79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79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279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8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80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280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8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80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280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8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80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280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80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81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281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81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81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281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81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81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281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8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8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28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8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8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28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8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8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282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8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8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28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8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8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283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8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83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283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8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83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283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8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84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284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8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284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284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8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84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284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8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28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285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85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8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285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85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28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2</xdr:row>
      <xdr:rowOff>0</xdr:rowOff>
    </xdr:from>
    <xdr:to>
      <xdr:col>46</xdr:col>
      <xdr:colOff>863313</xdr:colOff>
      <xdr:row>4</xdr:row>
      <xdr:rowOff>295275</xdr:rowOff>
    </xdr:to>
    <xdr:sp macro="" textlink="">
      <xdr:nvSpPr>
        <xdr:cNvPr id="22856" name="AutoShape 1" hidden="1"/>
        <xdr:cNvSpPr>
          <a:spLocks noChangeAspect="1" noChangeArrowheads="1"/>
        </xdr:cNvSpPr>
      </xdr:nvSpPr>
      <xdr:spPr bwMode="auto">
        <a:xfrm>
          <a:off x="38818868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8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8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285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28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28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28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28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28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28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28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8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8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8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8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28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28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8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8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8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87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28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28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8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88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8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8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28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28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88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8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88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8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288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28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8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8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8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8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904876</xdr:colOff>
      <xdr:row>4</xdr:row>
      <xdr:rowOff>238126</xdr:rowOff>
    </xdr:to>
    <xdr:sp macro="" textlink="">
      <xdr:nvSpPr>
        <xdr:cNvPr id="228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904876</xdr:colOff>
      <xdr:row>4</xdr:row>
      <xdr:rowOff>238126</xdr:rowOff>
    </xdr:to>
    <xdr:sp macro="" textlink="">
      <xdr:nvSpPr>
        <xdr:cNvPr id="228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28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28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28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904876</xdr:colOff>
      <xdr:row>4</xdr:row>
      <xdr:rowOff>238126</xdr:rowOff>
    </xdr:to>
    <xdr:sp macro="" textlink="">
      <xdr:nvSpPr>
        <xdr:cNvPr id="229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290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904876</xdr:colOff>
      <xdr:row>4</xdr:row>
      <xdr:rowOff>238126</xdr:rowOff>
    </xdr:to>
    <xdr:sp macro="" textlink="">
      <xdr:nvSpPr>
        <xdr:cNvPr id="229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29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29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29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29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904876</xdr:colOff>
      <xdr:row>4</xdr:row>
      <xdr:rowOff>238126</xdr:rowOff>
    </xdr:to>
    <xdr:sp macro="" textlink="">
      <xdr:nvSpPr>
        <xdr:cNvPr id="229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904876</xdr:colOff>
      <xdr:row>4</xdr:row>
      <xdr:rowOff>238126</xdr:rowOff>
    </xdr:to>
    <xdr:sp macro="" textlink="">
      <xdr:nvSpPr>
        <xdr:cNvPr id="229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29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29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29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292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29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29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29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93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9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293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293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293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29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237624</xdr:rowOff>
    </xdr:from>
    <xdr:to>
      <xdr:col>46</xdr:col>
      <xdr:colOff>837334</xdr:colOff>
      <xdr:row>4</xdr:row>
      <xdr:rowOff>218575</xdr:rowOff>
    </xdr:to>
    <xdr:sp macro="" textlink="">
      <xdr:nvSpPr>
        <xdr:cNvPr id="22939" name="AutoShape 1" hidden="1"/>
        <xdr:cNvSpPr>
          <a:spLocks noChangeAspect="1" noChangeArrowheads="1"/>
        </xdr:cNvSpPr>
      </xdr:nvSpPr>
      <xdr:spPr bwMode="auto">
        <a:xfrm>
          <a:off x="38818868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294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29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29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9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94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9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9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29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294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94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9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9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95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29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29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9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9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9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9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29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29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9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9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9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9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29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29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9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9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9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29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29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29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9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29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297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29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29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297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297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29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29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298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298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29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298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29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298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29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298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299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299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29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299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29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299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29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299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29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299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0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00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0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0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0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837332</xdr:colOff>
      <xdr:row>4</xdr:row>
      <xdr:rowOff>238126</xdr:rowOff>
    </xdr:to>
    <xdr:sp macro="" textlink="">
      <xdr:nvSpPr>
        <xdr:cNvPr id="230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837332</xdr:colOff>
      <xdr:row>4</xdr:row>
      <xdr:rowOff>238126</xdr:rowOff>
    </xdr:to>
    <xdr:sp macro="" textlink="">
      <xdr:nvSpPr>
        <xdr:cNvPr id="2300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904007</xdr:colOff>
      <xdr:row>4</xdr:row>
      <xdr:rowOff>238126</xdr:rowOff>
    </xdr:to>
    <xdr:sp macro="" textlink="">
      <xdr:nvSpPr>
        <xdr:cNvPr id="230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837332</xdr:colOff>
      <xdr:row>4</xdr:row>
      <xdr:rowOff>276226</xdr:rowOff>
    </xdr:to>
    <xdr:sp macro="" textlink="">
      <xdr:nvSpPr>
        <xdr:cNvPr id="2300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837332</xdr:colOff>
      <xdr:row>4</xdr:row>
      <xdr:rowOff>238126</xdr:rowOff>
    </xdr:to>
    <xdr:sp macro="" textlink="">
      <xdr:nvSpPr>
        <xdr:cNvPr id="230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837332</xdr:colOff>
      <xdr:row>4</xdr:row>
      <xdr:rowOff>238126</xdr:rowOff>
    </xdr:to>
    <xdr:sp macro="" textlink="">
      <xdr:nvSpPr>
        <xdr:cNvPr id="230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904007</xdr:colOff>
      <xdr:row>4</xdr:row>
      <xdr:rowOff>238126</xdr:rowOff>
    </xdr:to>
    <xdr:sp macro="" textlink="">
      <xdr:nvSpPr>
        <xdr:cNvPr id="230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837332</xdr:colOff>
      <xdr:row>4</xdr:row>
      <xdr:rowOff>276226</xdr:rowOff>
    </xdr:to>
    <xdr:sp macro="" textlink="">
      <xdr:nvSpPr>
        <xdr:cNvPr id="2301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0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01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0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01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0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01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0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02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2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0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02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0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02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0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0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0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03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0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0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0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0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0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0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0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0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0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04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0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04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4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0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04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5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0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0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0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05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0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05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0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05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0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06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0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06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0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06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0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06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0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06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7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0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07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7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0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07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0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07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0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08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0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08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0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08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0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0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08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08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0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09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0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09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9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0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09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0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0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10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10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10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1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10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1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10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1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10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1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1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1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11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1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11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1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11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1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11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1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12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1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12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1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12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1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1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1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12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1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1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1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13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1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1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1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1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1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1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1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1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1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1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14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14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1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14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14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1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237624</xdr:rowOff>
    </xdr:from>
    <xdr:to>
      <xdr:col>46</xdr:col>
      <xdr:colOff>904009</xdr:colOff>
      <xdr:row>4</xdr:row>
      <xdr:rowOff>218575</xdr:rowOff>
    </xdr:to>
    <xdr:sp macro="" textlink="">
      <xdr:nvSpPr>
        <xdr:cNvPr id="23149" name="AutoShape 1" hidden="1"/>
        <xdr:cNvSpPr>
          <a:spLocks noChangeAspect="1" noChangeArrowheads="1"/>
        </xdr:cNvSpPr>
      </xdr:nvSpPr>
      <xdr:spPr bwMode="auto">
        <a:xfrm>
          <a:off x="38818868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2</xdr:row>
      <xdr:rowOff>0</xdr:rowOff>
    </xdr:from>
    <xdr:to>
      <xdr:col>46</xdr:col>
      <xdr:colOff>838201</xdr:colOff>
      <xdr:row>4</xdr:row>
      <xdr:rowOff>295275</xdr:rowOff>
    </xdr:to>
    <xdr:sp macro="" textlink="">
      <xdr:nvSpPr>
        <xdr:cNvPr id="23150" name="AutoShape 1" hidden="1"/>
        <xdr:cNvSpPr>
          <a:spLocks noChangeAspect="1" noChangeArrowheads="1"/>
        </xdr:cNvSpPr>
      </xdr:nvSpPr>
      <xdr:spPr bwMode="auto">
        <a:xfrm>
          <a:off x="38818868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1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15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1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1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1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1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1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1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1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1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1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1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1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1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1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1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1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1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16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1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317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17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1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317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17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1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237624</xdr:rowOff>
    </xdr:from>
    <xdr:to>
      <xdr:col>46</xdr:col>
      <xdr:colOff>880630</xdr:colOff>
      <xdr:row>4</xdr:row>
      <xdr:rowOff>218575</xdr:rowOff>
    </xdr:to>
    <xdr:sp macro="" textlink="">
      <xdr:nvSpPr>
        <xdr:cNvPr id="23177" name="AutoShape 1" hidden="1"/>
        <xdr:cNvSpPr>
          <a:spLocks noChangeAspect="1" noChangeArrowheads="1"/>
        </xdr:cNvSpPr>
      </xdr:nvSpPr>
      <xdr:spPr bwMode="auto">
        <a:xfrm>
          <a:off x="38818868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17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1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318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18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1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18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18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318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18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18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318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18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19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319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19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19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319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19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19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319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19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19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880628</xdr:colOff>
      <xdr:row>4</xdr:row>
      <xdr:rowOff>238126</xdr:rowOff>
    </xdr:to>
    <xdr:sp macro="" textlink="">
      <xdr:nvSpPr>
        <xdr:cNvPr id="232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880628</xdr:colOff>
      <xdr:row>4</xdr:row>
      <xdr:rowOff>238126</xdr:rowOff>
    </xdr:to>
    <xdr:sp macro="" textlink="">
      <xdr:nvSpPr>
        <xdr:cNvPr id="2320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880628</xdr:colOff>
      <xdr:row>4</xdr:row>
      <xdr:rowOff>276226</xdr:rowOff>
    </xdr:to>
    <xdr:sp macro="" textlink="">
      <xdr:nvSpPr>
        <xdr:cNvPr id="2320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880628</xdr:colOff>
      <xdr:row>4</xdr:row>
      <xdr:rowOff>238126</xdr:rowOff>
    </xdr:to>
    <xdr:sp macro="" textlink="">
      <xdr:nvSpPr>
        <xdr:cNvPr id="232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880628</xdr:colOff>
      <xdr:row>4</xdr:row>
      <xdr:rowOff>238126</xdr:rowOff>
    </xdr:to>
    <xdr:sp macro="" textlink="">
      <xdr:nvSpPr>
        <xdr:cNvPr id="2320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880628</xdr:colOff>
      <xdr:row>4</xdr:row>
      <xdr:rowOff>276226</xdr:rowOff>
    </xdr:to>
    <xdr:sp macro="" textlink="">
      <xdr:nvSpPr>
        <xdr:cNvPr id="2320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2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20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320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20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21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321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1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1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321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1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1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321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32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32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2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2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322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2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2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32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323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3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323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3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323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4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324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4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324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4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324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325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5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325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5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325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5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5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325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26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26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326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26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26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326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6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6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326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6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327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7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327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7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327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7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328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8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328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8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8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328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8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28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328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9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9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329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9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880629</xdr:colOff>
      <xdr:row>4</xdr:row>
      <xdr:rowOff>238126</xdr:rowOff>
    </xdr:to>
    <xdr:sp macro="" textlink="">
      <xdr:nvSpPr>
        <xdr:cNvPr id="2329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880629</xdr:colOff>
      <xdr:row>4</xdr:row>
      <xdr:rowOff>276226</xdr:rowOff>
    </xdr:to>
    <xdr:sp macro="" textlink="">
      <xdr:nvSpPr>
        <xdr:cNvPr id="2329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29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29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329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29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880630</xdr:colOff>
      <xdr:row>4</xdr:row>
      <xdr:rowOff>238126</xdr:rowOff>
    </xdr:to>
    <xdr:sp macro="" textlink="">
      <xdr:nvSpPr>
        <xdr:cNvPr id="233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880630</xdr:colOff>
      <xdr:row>4</xdr:row>
      <xdr:rowOff>276226</xdr:rowOff>
    </xdr:to>
    <xdr:sp macro="" textlink="">
      <xdr:nvSpPr>
        <xdr:cNvPr id="2330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30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3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880631</xdr:colOff>
      <xdr:row>4</xdr:row>
      <xdr:rowOff>276226</xdr:rowOff>
    </xdr:to>
    <xdr:sp macro="" textlink="">
      <xdr:nvSpPr>
        <xdr:cNvPr id="2330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30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880631</xdr:colOff>
      <xdr:row>4</xdr:row>
      <xdr:rowOff>238126</xdr:rowOff>
    </xdr:to>
    <xdr:sp macro="" textlink="">
      <xdr:nvSpPr>
        <xdr:cNvPr id="233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2</xdr:row>
      <xdr:rowOff>0</xdr:rowOff>
    </xdr:from>
    <xdr:to>
      <xdr:col>46</xdr:col>
      <xdr:colOff>863313</xdr:colOff>
      <xdr:row>4</xdr:row>
      <xdr:rowOff>295275</xdr:rowOff>
    </xdr:to>
    <xdr:sp macro="" textlink="">
      <xdr:nvSpPr>
        <xdr:cNvPr id="23307" name="AutoShape 1" hidden="1"/>
        <xdr:cNvSpPr>
          <a:spLocks noChangeAspect="1" noChangeArrowheads="1"/>
        </xdr:cNvSpPr>
      </xdr:nvSpPr>
      <xdr:spPr bwMode="auto">
        <a:xfrm>
          <a:off x="38818868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3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3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3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31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3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33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31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33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33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33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3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3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3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3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33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33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3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3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3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3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33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332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3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3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3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33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33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33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33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33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3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3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334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33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3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3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34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3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904876</xdr:colOff>
      <xdr:row>4</xdr:row>
      <xdr:rowOff>238126</xdr:rowOff>
    </xdr:to>
    <xdr:sp macro="" textlink="">
      <xdr:nvSpPr>
        <xdr:cNvPr id="233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904876</xdr:colOff>
      <xdr:row>4</xdr:row>
      <xdr:rowOff>238126</xdr:rowOff>
    </xdr:to>
    <xdr:sp macro="" textlink="">
      <xdr:nvSpPr>
        <xdr:cNvPr id="233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3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3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3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904876</xdr:colOff>
      <xdr:row>4</xdr:row>
      <xdr:rowOff>238126</xdr:rowOff>
    </xdr:to>
    <xdr:sp macro="" textlink="">
      <xdr:nvSpPr>
        <xdr:cNvPr id="233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3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904876</xdr:colOff>
      <xdr:row>4</xdr:row>
      <xdr:rowOff>238126</xdr:rowOff>
    </xdr:to>
    <xdr:sp macro="" textlink="">
      <xdr:nvSpPr>
        <xdr:cNvPr id="233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3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3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3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3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904876</xdr:colOff>
      <xdr:row>4</xdr:row>
      <xdr:rowOff>238126</xdr:rowOff>
    </xdr:to>
    <xdr:sp macro="" textlink="">
      <xdr:nvSpPr>
        <xdr:cNvPr id="233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904876</xdr:colOff>
      <xdr:row>4</xdr:row>
      <xdr:rowOff>238126</xdr:rowOff>
    </xdr:to>
    <xdr:sp macro="" textlink="">
      <xdr:nvSpPr>
        <xdr:cNvPr id="233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3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3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7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3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38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3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3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3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3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38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3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38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3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338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237624</xdr:rowOff>
    </xdr:from>
    <xdr:to>
      <xdr:col>46</xdr:col>
      <xdr:colOff>837334</xdr:colOff>
      <xdr:row>4</xdr:row>
      <xdr:rowOff>218575</xdr:rowOff>
    </xdr:to>
    <xdr:sp macro="" textlink="">
      <xdr:nvSpPr>
        <xdr:cNvPr id="23390" name="AutoShape 1" hidden="1"/>
        <xdr:cNvSpPr>
          <a:spLocks noChangeAspect="1" noChangeArrowheads="1"/>
        </xdr:cNvSpPr>
      </xdr:nvSpPr>
      <xdr:spPr bwMode="auto">
        <a:xfrm>
          <a:off x="38818868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33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33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33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3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3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3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39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339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33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4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40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4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4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34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34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4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4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4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4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34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34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4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4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4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4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34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908519</xdr:colOff>
      <xdr:row>4</xdr:row>
      <xdr:rowOff>238126</xdr:rowOff>
    </xdr:to>
    <xdr:sp macro="" textlink="">
      <xdr:nvSpPr>
        <xdr:cNvPr id="234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4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4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4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4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34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908520</xdr:colOff>
      <xdr:row>4</xdr:row>
      <xdr:rowOff>238126</xdr:rowOff>
    </xdr:to>
    <xdr:sp macro="" textlink="">
      <xdr:nvSpPr>
        <xdr:cNvPr id="234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4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908522</xdr:colOff>
      <xdr:row>4</xdr:row>
      <xdr:rowOff>238126</xdr:rowOff>
    </xdr:to>
    <xdr:sp macro="" textlink="">
      <xdr:nvSpPr>
        <xdr:cNvPr id="234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4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42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4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42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4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43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4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4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4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4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4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4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4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4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4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4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44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4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44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4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44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4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44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4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45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4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4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4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45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4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837332</xdr:colOff>
      <xdr:row>4</xdr:row>
      <xdr:rowOff>238126</xdr:rowOff>
    </xdr:to>
    <xdr:sp macro="" textlink="">
      <xdr:nvSpPr>
        <xdr:cNvPr id="2345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837332</xdr:colOff>
      <xdr:row>4</xdr:row>
      <xdr:rowOff>238126</xdr:rowOff>
    </xdr:to>
    <xdr:sp macro="" textlink="">
      <xdr:nvSpPr>
        <xdr:cNvPr id="234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904007</xdr:colOff>
      <xdr:row>4</xdr:row>
      <xdr:rowOff>238126</xdr:rowOff>
    </xdr:to>
    <xdr:sp macro="" textlink="">
      <xdr:nvSpPr>
        <xdr:cNvPr id="234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837332</xdr:colOff>
      <xdr:row>4</xdr:row>
      <xdr:rowOff>276226</xdr:rowOff>
    </xdr:to>
    <xdr:sp macro="" textlink="">
      <xdr:nvSpPr>
        <xdr:cNvPr id="2345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837332</xdr:colOff>
      <xdr:row>4</xdr:row>
      <xdr:rowOff>238126</xdr:rowOff>
    </xdr:to>
    <xdr:sp macro="" textlink="">
      <xdr:nvSpPr>
        <xdr:cNvPr id="234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837332</xdr:colOff>
      <xdr:row>4</xdr:row>
      <xdr:rowOff>238126</xdr:rowOff>
    </xdr:to>
    <xdr:sp macro="" textlink="">
      <xdr:nvSpPr>
        <xdr:cNvPr id="234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904007</xdr:colOff>
      <xdr:row>4</xdr:row>
      <xdr:rowOff>238126</xdr:rowOff>
    </xdr:to>
    <xdr:sp macro="" textlink="">
      <xdr:nvSpPr>
        <xdr:cNvPr id="234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837332</xdr:colOff>
      <xdr:row>4</xdr:row>
      <xdr:rowOff>276226</xdr:rowOff>
    </xdr:to>
    <xdr:sp macro="" textlink="">
      <xdr:nvSpPr>
        <xdr:cNvPr id="234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46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4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4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46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46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4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4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47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47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4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4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47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4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4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4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47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4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4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4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48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48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4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4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48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48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4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4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49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49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49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4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49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49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4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49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49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0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0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5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50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0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5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50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0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5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51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1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5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51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1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5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51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2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5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52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2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5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52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2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5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53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3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5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53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53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5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5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53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54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5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5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54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4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5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54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5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55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5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5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55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5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5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55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5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5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6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5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56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6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5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57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7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5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57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5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57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837333</xdr:colOff>
      <xdr:row>4</xdr:row>
      <xdr:rowOff>238126</xdr:rowOff>
    </xdr:to>
    <xdr:sp macro="" textlink="">
      <xdr:nvSpPr>
        <xdr:cNvPr id="235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904008</xdr:colOff>
      <xdr:row>4</xdr:row>
      <xdr:rowOff>238126</xdr:rowOff>
    </xdr:to>
    <xdr:sp macro="" textlink="">
      <xdr:nvSpPr>
        <xdr:cNvPr id="235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837333</xdr:colOff>
      <xdr:row>4</xdr:row>
      <xdr:rowOff>276226</xdr:rowOff>
    </xdr:to>
    <xdr:sp macro="" textlink="">
      <xdr:nvSpPr>
        <xdr:cNvPr id="2358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58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5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5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58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58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837334</xdr:colOff>
      <xdr:row>4</xdr:row>
      <xdr:rowOff>238126</xdr:rowOff>
    </xdr:to>
    <xdr:sp macro="" textlink="">
      <xdr:nvSpPr>
        <xdr:cNvPr id="235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904009</xdr:colOff>
      <xdr:row>4</xdr:row>
      <xdr:rowOff>238126</xdr:rowOff>
    </xdr:to>
    <xdr:sp macro="" textlink="">
      <xdr:nvSpPr>
        <xdr:cNvPr id="235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837334</xdr:colOff>
      <xdr:row>4</xdr:row>
      <xdr:rowOff>276226</xdr:rowOff>
    </xdr:to>
    <xdr:sp macro="" textlink="">
      <xdr:nvSpPr>
        <xdr:cNvPr id="2359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5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908521</xdr:colOff>
      <xdr:row>4</xdr:row>
      <xdr:rowOff>238126</xdr:rowOff>
    </xdr:to>
    <xdr:sp macro="" textlink="">
      <xdr:nvSpPr>
        <xdr:cNvPr id="235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9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904010</xdr:colOff>
      <xdr:row>4</xdr:row>
      <xdr:rowOff>238126</xdr:rowOff>
    </xdr:to>
    <xdr:sp macro="" textlink="">
      <xdr:nvSpPr>
        <xdr:cNvPr id="235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295275</xdr:rowOff>
    </xdr:from>
    <xdr:to>
      <xdr:col>46</xdr:col>
      <xdr:colOff>837335</xdr:colOff>
      <xdr:row>4</xdr:row>
      <xdr:rowOff>276226</xdr:rowOff>
    </xdr:to>
    <xdr:sp macro="" textlink="">
      <xdr:nvSpPr>
        <xdr:cNvPr id="2359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837335</xdr:colOff>
      <xdr:row>4</xdr:row>
      <xdr:rowOff>238126</xdr:rowOff>
    </xdr:to>
    <xdr:sp macro="" textlink="">
      <xdr:nvSpPr>
        <xdr:cNvPr id="2359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237624</xdr:rowOff>
    </xdr:from>
    <xdr:to>
      <xdr:col>46</xdr:col>
      <xdr:colOff>904009</xdr:colOff>
      <xdr:row>4</xdr:row>
      <xdr:rowOff>218575</xdr:rowOff>
    </xdr:to>
    <xdr:sp macro="" textlink="">
      <xdr:nvSpPr>
        <xdr:cNvPr id="23600" name="AutoShape 1" hidden="1"/>
        <xdr:cNvSpPr>
          <a:spLocks noChangeAspect="1" noChangeArrowheads="1"/>
        </xdr:cNvSpPr>
      </xdr:nvSpPr>
      <xdr:spPr bwMode="auto">
        <a:xfrm>
          <a:off x="38818868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2</xdr:row>
      <xdr:rowOff>0</xdr:rowOff>
    </xdr:from>
    <xdr:to>
      <xdr:col>46</xdr:col>
      <xdr:colOff>838201</xdr:colOff>
      <xdr:row>4</xdr:row>
      <xdr:rowOff>295275</xdr:rowOff>
    </xdr:to>
    <xdr:sp macro="" textlink="">
      <xdr:nvSpPr>
        <xdr:cNvPr id="23601" name="AutoShape 1" hidden="1"/>
        <xdr:cNvSpPr>
          <a:spLocks noChangeAspect="1" noChangeArrowheads="1"/>
        </xdr:cNvSpPr>
      </xdr:nvSpPr>
      <xdr:spPr bwMode="auto">
        <a:xfrm>
          <a:off x="38818868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6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6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6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6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6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6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6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6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6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6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6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6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6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904875</xdr:colOff>
      <xdr:row>4</xdr:row>
      <xdr:rowOff>238126</xdr:rowOff>
    </xdr:to>
    <xdr:sp macro="" textlink="">
      <xdr:nvSpPr>
        <xdr:cNvPr id="236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6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6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6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46</xdr:col>
      <xdr:colOff>0</xdr:colOff>
      <xdr:row>1</xdr:row>
      <xdr:rowOff>257175</xdr:rowOff>
    </xdr:from>
    <xdr:to>
      <xdr:col>46</xdr:col>
      <xdr:colOff>904874</xdr:colOff>
      <xdr:row>4</xdr:row>
      <xdr:rowOff>238126</xdr:rowOff>
    </xdr:to>
    <xdr:sp macro="" textlink="">
      <xdr:nvSpPr>
        <xdr:cNvPr id="236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6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6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62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2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62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2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2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2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3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3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3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3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3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3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4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4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4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4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4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4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5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5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5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5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5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5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5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5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6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6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6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6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6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6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6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6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6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7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7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7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7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7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7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8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8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8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8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8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8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8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8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9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9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69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9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9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9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9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6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6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0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0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1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1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1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1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1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1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1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2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2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2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2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2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2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372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373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373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373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373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373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373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373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3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4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6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6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6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6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6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7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7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7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7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7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7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7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7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8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8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8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8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378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3786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3787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3788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378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379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379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379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9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79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79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79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0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80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80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0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1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81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1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1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81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1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1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81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2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82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2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82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2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3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83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3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383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383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383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383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383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383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383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384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8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8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8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8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8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8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6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8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8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6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86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7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7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7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8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8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8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8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87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88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88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88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88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8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8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88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88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88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88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89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89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89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8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89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89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89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89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8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89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0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0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0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0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0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0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90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90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90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90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1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1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91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91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91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91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92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2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2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2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2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93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93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93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93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3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3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4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4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4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9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94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94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390542</xdr:colOff>
      <xdr:row>3</xdr:row>
      <xdr:rowOff>152400</xdr:rowOff>
    </xdr:to>
    <xdr:sp macro="" textlink="">
      <xdr:nvSpPr>
        <xdr:cNvPr id="2394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395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9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9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9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9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9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96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96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6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97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97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9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9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9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9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9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398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398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398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398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398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398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398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399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9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99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99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399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399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39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0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0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1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1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1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1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1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1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2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2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2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2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2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2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3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3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3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3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3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3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3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403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404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404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404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404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404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404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404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4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4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5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5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5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5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5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5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5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5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6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6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6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6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6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6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6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7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7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7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7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7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7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7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7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8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8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8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8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8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408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408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408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409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4091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396993</xdr:colOff>
      <xdr:row>3</xdr:row>
      <xdr:rowOff>152400</xdr:rowOff>
    </xdr:to>
    <xdr:sp macro="" textlink="">
      <xdr:nvSpPr>
        <xdr:cNvPr id="2409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394657</xdr:colOff>
      <xdr:row>3</xdr:row>
      <xdr:rowOff>152400</xdr:rowOff>
    </xdr:to>
    <xdr:sp macro="" textlink="">
      <xdr:nvSpPr>
        <xdr:cNvPr id="24093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396993</xdr:colOff>
      <xdr:row>3</xdr:row>
      <xdr:rowOff>152400</xdr:rowOff>
    </xdr:to>
    <xdr:sp macro="" textlink="">
      <xdr:nvSpPr>
        <xdr:cNvPr id="24094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09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09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0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1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1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1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1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1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1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10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1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1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10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11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1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1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11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11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1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1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11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11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411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390543</xdr:colOff>
      <xdr:row>3</xdr:row>
      <xdr:rowOff>152400</xdr:rowOff>
    </xdr:to>
    <xdr:sp macro="" textlink="">
      <xdr:nvSpPr>
        <xdr:cNvPr id="241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1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1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394658</xdr:colOff>
      <xdr:row>3</xdr:row>
      <xdr:rowOff>152400</xdr:rowOff>
    </xdr:to>
    <xdr:sp macro="" textlink="">
      <xdr:nvSpPr>
        <xdr:cNvPr id="2412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12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1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257175</xdr:rowOff>
    </xdr:from>
    <xdr:to>
      <xdr:col>37</xdr:col>
      <xdr:colOff>396994</xdr:colOff>
      <xdr:row>3</xdr:row>
      <xdr:rowOff>152400</xdr:rowOff>
    </xdr:to>
    <xdr:sp macro="" textlink="">
      <xdr:nvSpPr>
        <xdr:cNvPr id="241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35</xdr:col>
      <xdr:colOff>0</xdr:colOff>
      <xdr:row>0</xdr:row>
      <xdr:rowOff>295275</xdr:rowOff>
    </xdr:from>
    <xdr:to>
      <xdr:col>37</xdr:col>
      <xdr:colOff>396994</xdr:colOff>
      <xdr:row>3</xdr:row>
      <xdr:rowOff>152400</xdr:rowOff>
    </xdr:to>
    <xdr:sp macro="" textlink="">
      <xdr:nvSpPr>
        <xdr:cNvPr id="241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929121</xdr:colOff>
      <xdr:row>4</xdr:row>
      <xdr:rowOff>295275</xdr:rowOff>
    </xdr:to>
    <xdr:sp macro="" textlink="">
      <xdr:nvSpPr>
        <xdr:cNvPr id="24128" name="AutoShape 1" hidden="1"/>
        <xdr:cNvSpPr>
          <a:spLocks noChangeAspect="1" noChangeArrowheads="1"/>
        </xdr:cNvSpPr>
      </xdr:nvSpPr>
      <xdr:spPr bwMode="auto">
        <a:xfrm>
          <a:off x="30192453" y="327804"/>
          <a:ext cx="929121" cy="493683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2</xdr:row>
      <xdr:rowOff>0</xdr:rowOff>
    </xdr:from>
    <xdr:to>
      <xdr:col>142</xdr:col>
      <xdr:colOff>863313</xdr:colOff>
      <xdr:row>4</xdr:row>
      <xdr:rowOff>295275</xdr:rowOff>
    </xdr:to>
    <xdr:sp macro="" textlink="">
      <xdr:nvSpPr>
        <xdr:cNvPr id="24129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2</xdr:row>
      <xdr:rowOff>0</xdr:rowOff>
    </xdr:from>
    <xdr:to>
      <xdr:col>142</xdr:col>
      <xdr:colOff>838201</xdr:colOff>
      <xdr:row>4</xdr:row>
      <xdr:rowOff>295275</xdr:rowOff>
    </xdr:to>
    <xdr:sp macro="" textlink="">
      <xdr:nvSpPr>
        <xdr:cNvPr id="24130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2</xdr:row>
      <xdr:rowOff>0</xdr:rowOff>
    </xdr:from>
    <xdr:to>
      <xdr:col>142</xdr:col>
      <xdr:colOff>863313</xdr:colOff>
      <xdr:row>4</xdr:row>
      <xdr:rowOff>295275</xdr:rowOff>
    </xdr:to>
    <xdr:sp macro="" textlink="">
      <xdr:nvSpPr>
        <xdr:cNvPr id="24131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2</xdr:row>
      <xdr:rowOff>0</xdr:rowOff>
    </xdr:from>
    <xdr:to>
      <xdr:col>142</xdr:col>
      <xdr:colOff>838201</xdr:colOff>
      <xdr:row>4</xdr:row>
      <xdr:rowOff>295275</xdr:rowOff>
    </xdr:to>
    <xdr:sp macro="" textlink="">
      <xdr:nvSpPr>
        <xdr:cNvPr id="24132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2</xdr:row>
      <xdr:rowOff>0</xdr:rowOff>
    </xdr:from>
    <xdr:to>
      <xdr:col>142</xdr:col>
      <xdr:colOff>863313</xdr:colOff>
      <xdr:row>4</xdr:row>
      <xdr:rowOff>295275</xdr:rowOff>
    </xdr:to>
    <xdr:sp macro="" textlink="">
      <xdr:nvSpPr>
        <xdr:cNvPr id="24133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2</xdr:row>
      <xdr:rowOff>0</xdr:rowOff>
    </xdr:from>
    <xdr:to>
      <xdr:col>142</xdr:col>
      <xdr:colOff>838201</xdr:colOff>
      <xdr:row>4</xdr:row>
      <xdr:rowOff>295275</xdr:rowOff>
    </xdr:to>
    <xdr:sp macro="" textlink="">
      <xdr:nvSpPr>
        <xdr:cNvPr id="24134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2</xdr:row>
      <xdr:rowOff>0</xdr:rowOff>
    </xdr:from>
    <xdr:to>
      <xdr:col>142</xdr:col>
      <xdr:colOff>863313</xdr:colOff>
      <xdr:row>4</xdr:row>
      <xdr:rowOff>295275</xdr:rowOff>
    </xdr:to>
    <xdr:sp macro="" textlink="">
      <xdr:nvSpPr>
        <xdr:cNvPr id="24135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47</xdr:col>
      <xdr:colOff>0</xdr:colOff>
      <xdr:row>2</xdr:row>
      <xdr:rowOff>0</xdr:rowOff>
    </xdr:from>
    <xdr:to>
      <xdr:col>142</xdr:col>
      <xdr:colOff>838201</xdr:colOff>
      <xdr:row>4</xdr:row>
      <xdr:rowOff>295275</xdr:rowOff>
    </xdr:to>
    <xdr:sp macro="" textlink="">
      <xdr:nvSpPr>
        <xdr:cNvPr id="24136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5/2015%20Email/Fevereiro%202015/Fx-Fev-11-15-Gesta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ão"/>
    </sheetNames>
    <sheetDataSet>
      <sheetData sheetId="0">
        <row r="1">
          <cell r="Y1" t="str">
            <v>Total</v>
          </cell>
        </row>
        <row r="2">
          <cell r="Y2" t="str">
            <v>Acumulado até</v>
          </cell>
        </row>
        <row r="3">
          <cell r="Y3">
            <v>42033</v>
          </cell>
        </row>
        <row r="4">
          <cell r="Y4">
            <v>31035889.847000018</v>
          </cell>
        </row>
        <row r="5">
          <cell r="Y5">
            <v>1301814.5570000187</v>
          </cell>
        </row>
        <row r="11">
          <cell r="Y11">
            <v>11975959.27</v>
          </cell>
        </row>
        <row r="12">
          <cell r="Y12">
            <v>123478.42999999998</v>
          </cell>
        </row>
        <row r="13">
          <cell r="Y13">
            <v>1796212.6400000001</v>
          </cell>
        </row>
        <row r="14">
          <cell r="Y14">
            <v>357997.32</v>
          </cell>
        </row>
        <row r="15">
          <cell r="Y15">
            <v>1219176.6299999997</v>
          </cell>
        </row>
        <row r="16">
          <cell r="Y16">
            <v>40128.590000000004</v>
          </cell>
        </row>
        <row r="17">
          <cell r="Y17">
            <v>4503.9999999999854</v>
          </cell>
        </row>
        <row r="18">
          <cell r="Y18">
            <v>474195.71</v>
          </cell>
        </row>
        <row r="19">
          <cell r="Y19">
            <v>45714.78</v>
          </cell>
        </row>
        <row r="21">
          <cell r="Y21">
            <v>61558.570000000007</v>
          </cell>
        </row>
        <row r="22">
          <cell r="Y22">
            <v>0</v>
          </cell>
        </row>
        <row r="23">
          <cell r="Y23">
            <v>40821</v>
          </cell>
        </row>
        <row r="24">
          <cell r="Y24">
            <v>44402.33</v>
          </cell>
        </row>
        <row r="25">
          <cell r="Y25">
            <v>13185.77</v>
          </cell>
        </row>
        <row r="26">
          <cell r="Y26">
            <v>453256.5</v>
          </cell>
        </row>
        <row r="27">
          <cell r="Y27">
            <v>962.69</v>
          </cell>
        </row>
        <row r="28">
          <cell r="Y28">
            <v>37.159999999999997</v>
          </cell>
        </row>
        <row r="29">
          <cell r="Y29">
            <v>1333.22</v>
          </cell>
        </row>
        <row r="30">
          <cell r="Y30">
            <v>14.4</v>
          </cell>
        </row>
        <row r="31">
          <cell r="Y31">
            <v>0</v>
          </cell>
        </row>
        <row r="32">
          <cell r="Y32">
            <v>20141.52</v>
          </cell>
        </row>
        <row r="33">
          <cell r="Y33">
            <v>18920.39</v>
          </cell>
        </row>
        <row r="34">
          <cell r="Y34">
            <v>0</v>
          </cell>
        </row>
        <row r="35">
          <cell r="Y35">
            <v>8479094.25</v>
          </cell>
        </row>
        <row r="37">
          <cell r="Y37">
            <v>900000.3200000003</v>
          </cell>
        </row>
        <row r="39">
          <cell r="Y39">
            <v>42610034.559999995</v>
          </cell>
        </row>
        <row r="41">
          <cell r="Y41">
            <v>18958237.560000002</v>
          </cell>
        </row>
        <row r="42">
          <cell r="Y42">
            <v>10489548.370000001</v>
          </cell>
        </row>
        <row r="43">
          <cell r="Y43">
            <v>66488.510000000009</v>
          </cell>
        </row>
        <row r="44">
          <cell r="Y44">
            <v>8402200.6799999997</v>
          </cell>
        </row>
        <row r="45">
          <cell r="Y45">
            <v>644047.74</v>
          </cell>
        </row>
        <row r="46">
          <cell r="Y46">
            <v>391054.38999999996</v>
          </cell>
        </row>
        <row r="47">
          <cell r="Y47">
            <v>252993.34999999998</v>
          </cell>
        </row>
        <row r="48">
          <cell r="Y48">
            <v>20916507.489999995</v>
          </cell>
        </row>
        <row r="49">
          <cell r="Y49">
            <v>298552.88000000064</v>
          </cell>
        </row>
        <row r="50">
          <cell r="Y50">
            <v>19222600.799999997</v>
          </cell>
        </row>
        <row r="51">
          <cell r="Y51">
            <v>1395353.8099999998</v>
          </cell>
        </row>
        <row r="52">
          <cell r="Y52">
            <v>2091241.7700000005</v>
          </cell>
        </row>
        <row r="53">
          <cell r="Y53">
            <v>1485968.3800000004</v>
          </cell>
        </row>
        <row r="54">
          <cell r="Y54">
            <v>184719.34</v>
          </cell>
        </row>
        <row r="55">
          <cell r="Y55">
            <v>420554.0500000001</v>
          </cell>
        </row>
        <row r="56">
          <cell r="Y56">
            <v>0</v>
          </cell>
        </row>
        <row r="57">
          <cell r="Y57">
            <v>0</v>
          </cell>
        </row>
        <row r="60">
          <cell r="Y60" t="str">
            <v>Total</v>
          </cell>
        </row>
        <row r="61">
          <cell r="Y61" t="str">
            <v>Acumulado até</v>
          </cell>
        </row>
        <row r="62">
          <cell r="Y62">
            <v>42033</v>
          </cell>
        </row>
        <row r="63">
          <cell r="Y63">
            <v>473842.00999999978</v>
          </cell>
        </row>
        <row r="64">
          <cell r="Y64">
            <v>313767.68000000017</v>
          </cell>
        </row>
        <row r="66">
          <cell r="Y66">
            <v>2634020.4500000002</v>
          </cell>
        </row>
        <row r="67">
          <cell r="Y67">
            <v>3504.4500000000003</v>
          </cell>
        </row>
        <row r="68">
          <cell r="Y68">
            <v>2630516</v>
          </cell>
        </row>
        <row r="70">
          <cell r="Y70">
            <v>2794094.78</v>
          </cell>
        </row>
        <row r="72">
          <cell r="Y72">
            <v>2794094.78</v>
          </cell>
        </row>
        <row r="73">
          <cell r="Y73">
            <v>2486839.69</v>
          </cell>
        </row>
        <row r="74">
          <cell r="Y74">
            <v>296402.17000000004</v>
          </cell>
        </row>
        <row r="75">
          <cell r="Y75">
            <v>10852.92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EN122"/>
  <sheetViews>
    <sheetView showGridLines="0" tabSelected="1" zoomScale="90" zoomScaleNormal="90" zoomScaleSheetLayoutView="50" workbookViewId="0">
      <pane xSplit="3" ySplit="6" topLeftCell="AQ7" activePane="bottomRight" state="frozen"/>
      <selection pane="topRight" activeCell="D1" sqref="D1"/>
      <selection pane="bottomLeft" activeCell="A7" sqref="A7"/>
      <selection pane="bottomRight" activeCell="AT1" sqref="AT1"/>
    </sheetView>
  </sheetViews>
  <sheetFormatPr defaultColWidth="15.625" defaultRowHeight="20.05" customHeight="1"/>
  <cols>
    <col min="1" max="1" width="2.75" style="9" bestFit="1" customWidth="1"/>
    <col min="2" max="2" width="11.125" style="8" customWidth="1"/>
    <col min="3" max="3" width="53.375" style="7" customWidth="1"/>
    <col min="4" max="4" width="16.625" style="4" hidden="1" customWidth="1"/>
    <col min="5" max="9" width="16.625" style="1" hidden="1" customWidth="1"/>
    <col min="10" max="10" width="16.625" style="6" hidden="1" customWidth="1"/>
    <col min="11" max="24" width="16.625" style="1" hidden="1" customWidth="1"/>
    <col min="25" max="25" width="15.625" style="5" hidden="1" customWidth="1"/>
    <col min="26" max="26" width="16.625" style="1" hidden="1" customWidth="1"/>
    <col min="27" max="27" width="16.625" style="4" customWidth="1"/>
    <col min="28" max="28" width="16.625" style="3" hidden="1" customWidth="1"/>
    <col min="29" max="47" width="16.625" style="1" customWidth="1"/>
    <col min="48" max="69" width="16.625" style="1" hidden="1" customWidth="1"/>
    <col min="70" max="70" width="16.625" style="3" hidden="1" customWidth="1"/>
    <col min="71" max="93" width="16.625" style="1" hidden="1" customWidth="1"/>
    <col min="94" max="94" width="16.625" style="3" hidden="1" customWidth="1"/>
    <col min="95" max="116" width="16.625" style="1" hidden="1" customWidth="1"/>
    <col min="117" max="117" width="16.625" style="3" hidden="1" customWidth="1"/>
    <col min="118" max="140" width="16.625" style="1" hidden="1" customWidth="1"/>
    <col min="141" max="141" width="16.625" style="3" hidden="1" customWidth="1"/>
    <col min="142" max="142" width="16.625" style="1" hidden="1" customWidth="1"/>
    <col min="143" max="143" width="15.625" style="1"/>
    <col min="144" max="144" width="18.625" style="2" bestFit="1" customWidth="1"/>
    <col min="145" max="16384" width="15.625" style="1"/>
  </cols>
  <sheetData>
    <row r="1" spans="1:144" s="166" customFormat="1" ht="25" customHeight="1">
      <c r="A1" s="173"/>
      <c r="B1" s="11"/>
      <c r="C1" s="178" t="s">
        <v>66</v>
      </c>
      <c r="D1" s="177" t="s">
        <v>65</v>
      </c>
      <c r="E1" s="176">
        <v>42006</v>
      </c>
      <c r="F1" s="176">
        <v>42009</v>
      </c>
      <c r="G1" s="176">
        <v>42010</v>
      </c>
      <c r="H1" s="176">
        <v>42011</v>
      </c>
      <c r="I1" s="176">
        <v>42012</v>
      </c>
      <c r="J1" s="176">
        <v>42013</v>
      </c>
      <c r="K1" s="176">
        <v>42016</v>
      </c>
      <c r="L1" s="176">
        <v>42017</v>
      </c>
      <c r="M1" s="176">
        <v>42018</v>
      </c>
      <c r="N1" s="176">
        <v>42019</v>
      </c>
      <c r="O1" s="176">
        <v>42020</v>
      </c>
      <c r="P1" s="176">
        <v>42023</v>
      </c>
      <c r="Q1" s="176">
        <v>42024</v>
      </c>
      <c r="R1" s="176">
        <v>42025</v>
      </c>
      <c r="S1" s="176">
        <v>42026</v>
      </c>
      <c r="T1" s="176">
        <v>42027</v>
      </c>
      <c r="U1" s="176">
        <v>42030</v>
      </c>
      <c r="V1" s="176">
        <v>42031</v>
      </c>
      <c r="W1" s="176">
        <v>42032</v>
      </c>
      <c r="X1" s="176">
        <v>42033</v>
      </c>
      <c r="Z1" s="175">
        <v>42034</v>
      </c>
      <c r="AA1" s="177" t="s">
        <v>65</v>
      </c>
      <c r="AB1" s="174" t="s">
        <v>65</v>
      </c>
      <c r="AC1" s="176">
        <v>42037</v>
      </c>
      <c r="AD1" s="176">
        <v>42038</v>
      </c>
      <c r="AE1" s="176">
        <v>42039</v>
      </c>
      <c r="AF1" s="176">
        <v>42040</v>
      </c>
      <c r="AG1" s="176">
        <v>42041</v>
      </c>
      <c r="AH1" s="176">
        <v>42044</v>
      </c>
      <c r="AI1" s="176">
        <v>42045</v>
      </c>
      <c r="AJ1" s="176">
        <v>42046</v>
      </c>
      <c r="AK1" s="176">
        <v>42047</v>
      </c>
      <c r="AL1" s="176">
        <v>42048</v>
      </c>
      <c r="AM1" s="176">
        <v>42053</v>
      </c>
      <c r="AN1" s="176">
        <v>42054</v>
      </c>
      <c r="AO1" s="176">
        <v>42055</v>
      </c>
      <c r="AP1" s="176">
        <v>42058</v>
      </c>
      <c r="AQ1" s="176">
        <v>42059</v>
      </c>
      <c r="AR1" s="176">
        <v>42060</v>
      </c>
      <c r="AS1" s="176">
        <v>42061</v>
      </c>
      <c r="AT1" s="181">
        <v>42062</v>
      </c>
      <c r="AU1" s="177" t="s">
        <v>65</v>
      </c>
      <c r="AV1" s="176">
        <v>42065</v>
      </c>
      <c r="AW1" s="176">
        <v>42066</v>
      </c>
      <c r="AX1" s="176">
        <v>42067</v>
      </c>
      <c r="AY1" s="176">
        <v>42068</v>
      </c>
      <c r="AZ1" s="176">
        <v>42069</v>
      </c>
      <c r="BA1" s="176">
        <v>42072</v>
      </c>
      <c r="BB1" s="176">
        <v>42073</v>
      </c>
      <c r="BC1" s="176">
        <v>42074</v>
      </c>
      <c r="BD1" s="176">
        <v>42075</v>
      </c>
      <c r="BE1" s="176">
        <v>42076</v>
      </c>
      <c r="BF1" s="176">
        <v>42079</v>
      </c>
      <c r="BG1" s="176">
        <v>42080</v>
      </c>
      <c r="BH1" s="176">
        <v>42081</v>
      </c>
      <c r="BI1" s="176">
        <v>42082</v>
      </c>
      <c r="BJ1" s="176">
        <v>42083</v>
      </c>
      <c r="BK1" s="176">
        <v>42086</v>
      </c>
      <c r="BL1" s="176">
        <v>42087</v>
      </c>
      <c r="BM1" s="176">
        <v>42088</v>
      </c>
      <c r="BN1" s="176">
        <v>42089</v>
      </c>
      <c r="BO1" s="176">
        <v>42090</v>
      </c>
      <c r="BP1" s="176">
        <v>42093</v>
      </c>
      <c r="BQ1" s="175">
        <v>42094</v>
      </c>
      <c r="BR1" s="174" t="s">
        <v>65</v>
      </c>
      <c r="BS1" s="174" t="s">
        <v>65</v>
      </c>
      <c r="BT1" s="176">
        <v>42095</v>
      </c>
      <c r="BU1" s="176">
        <v>42096</v>
      </c>
      <c r="BV1" s="176">
        <v>42097</v>
      </c>
      <c r="BW1" s="176">
        <v>42100</v>
      </c>
      <c r="BX1" s="176">
        <v>42101</v>
      </c>
      <c r="BY1" s="176">
        <v>42102</v>
      </c>
      <c r="BZ1" s="176">
        <v>42103</v>
      </c>
      <c r="CA1" s="176">
        <v>42104</v>
      </c>
      <c r="CB1" s="176">
        <v>42107</v>
      </c>
      <c r="CC1" s="176">
        <v>42108</v>
      </c>
      <c r="CD1" s="176">
        <v>42109</v>
      </c>
      <c r="CE1" s="176">
        <v>42110</v>
      </c>
      <c r="CF1" s="176">
        <v>42111</v>
      </c>
      <c r="CG1" s="176">
        <v>42114</v>
      </c>
      <c r="CH1" s="176">
        <v>42115</v>
      </c>
      <c r="CI1" s="176">
        <v>42116</v>
      </c>
      <c r="CJ1" s="176">
        <v>42117</v>
      </c>
      <c r="CK1" s="176">
        <v>42118</v>
      </c>
      <c r="CL1" s="176">
        <v>42121</v>
      </c>
      <c r="CM1" s="176">
        <v>42122</v>
      </c>
      <c r="CN1" s="176">
        <v>42123</v>
      </c>
      <c r="CO1" s="175">
        <v>42124</v>
      </c>
      <c r="CP1" s="174" t="s">
        <v>65</v>
      </c>
      <c r="CQ1" s="174" t="s">
        <v>65</v>
      </c>
      <c r="CR1" s="176">
        <v>42125</v>
      </c>
      <c r="CS1" s="176">
        <v>42128</v>
      </c>
      <c r="CT1" s="176">
        <v>42129</v>
      </c>
      <c r="CU1" s="176">
        <v>42130</v>
      </c>
      <c r="CV1" s="176">
        <v>42131</v>
      </c>
      <c r="CW1" s="176">
        <v>42132</v>
      </c>
      <c r="CX1" s="176">
        <v>42135</v>
      </c>
      <c r="CY1" s="176">
        <v>42136</v>
      </c>
      <c r="CZ1" s="176">
        <v>42137</v>
      </c>
      <c r="DA1" s="176">
        <v>42138</v>
      </c>
      <c r="DB1" s="176">
        <v>42139</v>
      </c>
      <c r="DC1" s="176">
        <v>42142</v>
      </c>
      <c r="DD1" s="176">
        <v>42143</v>
      </c>
      <c r="DE1" s="176">
        <v>42144</v>
      </c>
      <c r="DF1" s="176">
        <v>42145</v>
      </c>
      <c r="DG1" s="176">
        <v>42146</v>
      </c>
      <c r="DH1" s="176">
        <v>42149</v>
      </c>
      <c r="DI1" s="176">
        <v>42150</v>
      </c>
      <c r="DJ1" s="176">
        <v>42151</v>
      </c>
      <c r="DK1" s="176">
        <v>42152</v>
      </c>
      <c r="DL1" s="175">
        <v>42153</v>
      </c>
      <c r="DM1" s="174" t="s">
        <v>65</v>
      </c>
      <c r="DN1" s="174" t="s">
        <v>65</v>
      </c>
      <c r="DO1" s="176">
        <v>42156</v>
      </c>
      <c r="DP1" s="176">
        <v>42157</v>
      </c>
      <c r="DQ1" s="176">
        <v>42158</v>
      </c>
      <c r="DR1" s="176">
        <v>42159</v>
      </c>
      <c r="DS1" s="176">
        <v>42160</v>
      </c>
      <c r="DT1" s="176">
        <v>42163</v>
      </c>
      <c r="DU1" s="176">
        <v>42164</v>
      </c>
      <c r="DV1" s="176">
        <v>42165</v>
      </c>
      <c r="DW1" s="176">
        <v>42166</v>
      </c>
      <c r="DX1" s="176">
        <v>42167</v>
      </c>
      <c r="DY1" s="176">
        <v>42170</v>
      </c>
      <c r="DZ1" s="176">
        <v>42171</v>
      </c>
      <c r="EA1" s="176">
        <v>42172</v>
      </c>
      <c r="EB1" s="176">
        <v>42173</v>
      </c>
      <c r="EC1" s="176">
        <v>42174</v>
      </c>
      <c r="ED1" s="176">
        <v>42177</v>
      </c>
      <c r="EE1" s="176">
        <v>42178</v>
      </c>
      <c r="EF1" s="176">
        <v>42179</v>
      </c>
      <c r="EG1" s="176">
        <v>42180</v>
      </c>
      <c r="EH1" s="176">
        <v>42181</v>
      </c>
      <c r="EI1" s="176">
        <v>42184</v>
      </c>
      <c r="EJ1" s="175">
        <v>42185</v>
      </c>
      <c r="EK1" s="174" t="s">
        <v>65</v>
      </c>
      <c r="EL1" s="174" t="s">
        <v>65</v>
      </c>
      <c r="EN1" s="167"/>
    </row>
    <row r="2" spans="1:144" s="166" customFormat="1" ht="25" customHeight="1">
      <c r="A2" s="173"/>
      <c r="B2" s="11"/>
      <c r="C2" s="172">
        <v>42036</v>
      </c>
      <c r="D2" s="171" t="s">
        <v>64</v>
      </c>
      <c r="E2" s="170" t="str">
        <f t="shared" ref="E2:X2" si="0">TEXT(E1,"ddd")</f>
        <v>sex</v>
      </c>
      <c r="F2" s="170" t="str">
        <f t="shared" si="0"/>
        <v>seg</v>
      </c>
      <c r="G2" s="170" t="str">
        <f t="shared" si="0"/>
        <v>ter</v>
      </c>
      <c r="H2" s="170" t="str">
        <f t="shared" si="0"/>
        <v>qua</v>
      </c>
      <c r="I2" s="170" t="str">
        <f t="shared" si="0"/>
        <v>qui</v>
      </c>
      <c r="J2" s="170" t="str">
        <f t="shared" si="0"/>
        <v>sex</v>
      </c>
      <c r="K2" s="170" t="str">
        <f t="shared" si="0"/>
        <v>seg</v>
      </c>
      <c r="L2" s="170" t="str">
        <f t="shared" si="0"/>
        <v>ter</v>
      </c>
      <c r="M2" s="170" t="str">
        <f t="shared" si="0"/>
        <v>qua</v>
      </c>
      <c r="N2" s="170" t="str">
        <f t="shared" si="0"/>
        <v>qui</v>
      </c>
      <c r="O2" s="170" t="str">
        <f t="shared" si="0"/>
        <v>sex</v>
      </c>
      <c r="P2" s="170" t="str">
        <f t="shared" si="0"/>
        <v>seg</v>
      </c>
      <c r="Q2" s="170" t="str">
        <f t="shared" si="0"/>
        <v>ter</v>
      </c>
      <c r="R2" s="170" t="str">
        <f t="shared" si="0"/>
        <v>qua</v>
      </c>
      <c r="S2" s="170" t="str">
        <f t="shared" si="0"/>
        <v>qui</v>
      </c>
      <c r="T2" s="170" t="str">
        <f t="shared" si="0"/>
        <v>sex</v>
      </c>
      <c r="U2" s="170" t="str">
        <f t="shared" si="0"/>
        <v>seg</v>
      </c>
      <c r="V2" s="170" t="str">
        <f t="shared" si="0"/>
        <v>ter</v>
      </c>
      <c r="W2" s="170" t="str">
        <f t="shared" si="0"/>
        <v>qua</v>
      </c>
      <c r="X2" s="170" t="str">
        <f t="shared" si="0"/>
        <v>qui</v>
      </c>
      <c r="Z2" s="169" t="str">
        <f>TEXT(Z1,"ddd")</f>
        <v>sex</v>
      </c>
      <c r="AA2" s="171" t="s">
        <v>64</v>
      </c>
      <c r="AB2" s="168" t="s">
        <v>63</v>
      </c>
      <c r="AC2" s="170" t="s">
        <v>68</v>
      </c>
      <c r="AD2" s="170" t="s">
        <v>69</v>
      </c>
      <c r="AE2" s="170" t="s">
        <v>70</v>
      </c>
      <c r="AF2" s="170" t="s">
        <v>71</v>
      </c>
      <c r="AG2" s="170" t="s">
        <v>72</v>
      </c>
      <c r="AH2" s="170" t="s">
        <v>68</v>
      </c>
      <c r="AI2" s="170" t="s">
        <v>69</v>
      </c>
      <c r="AJ2" s="170" t="s">
        <v>70</v>
      </c>
      <c r="AK2" s="170" t="s">
        <v>71</v>
      </c>
      <c r="AL2" s="170" t="s">
        <v>72</v>
      </c>
      <c r="AM2" s="170" t="str">
        <f t="shared" ref="AM2:AT2" si="1">TEXT(AM1,"ddd")</f>
        <v>qua</v>
      </c>
      <c r="AN2" s="170" t="str">
        <f t="shared" si="1"/>
        <v>qui</v>
      </c>
      <c r="AO2" s="170" t="str">
        <f t="shared" si="1"/>
        <v>sex</v>
      </c>
      <c r="AP2" s="170" t="str">
        <f t="shared" si="1"/>
        <v>seg</v>
      </c>
      <c r="AQ2" s="170" t="str">
        <f t="shared" si="1"/>
        <v>ter</v>
      </c>
      <c r="AR2" s="170" t="str">
        <f t="shared" si="1"/>
        <v>qua</v>
      </c>
      <c r="AS2" s="170" t="str">
        <f t="shared" si="1"/>
        <v>qui</v>
      </c>
      <c r="AT2" s="170" t="str">
        <f t="shared" si="1"/>
        <v>sex</v>
      </c>
      <c r="AU2" s="171" t="s">
        <v>67</v>
      </c>
      <c r="AV2" s="170" t="str">
        <f t="shared" ref="AV2:BQ2" si="2">TEXT(AV1,"ddd")</f>
        <v>seg</v>
      </c>
      <c r="AW2" s="170" t="str">
        <f t="shared" si="2"/>
        <v>ter</v>
      </c>
      <c r="AX2" s="170" t="str">
        <f t="shared" si="2"/>
        <v>qua</v>
      </c>
      <c r="AY2" s="170" t="str">
        <f t="shared" si="2"/>
        <v>qui</v>
      </c>
      <c r="AZ2" s="170" t="str">
        <f t="shared" si="2"/>
        <v>sex</v>
      </c>
      <c r="BA2" s="170" t="str">
        <f t="shared" si="2"/>
        <v>seg</v>
      </c>
      <c r="BB2" s="170" t="str">
        <f t="shared" si="2"/>
        <v>ter</v>
      </c>
      <c r="BC2" s="170" t="str">
        <f t="shared" si="2"/>
        <v>qua</v>
      </c>
      <c r="BD2" s="170" t="str">
        <f t="shared" si="2"/>
        <v>qui</v>
      </c>
      <c r="BE2" s="170" t="str">
        <f t="shared" si="2"/>
        <v>sex</v>
      </c>
      <c r="BF2" s="170" t="str">
        <f t="shared" si="2"/>
        <v>seg</v>
      </c>
      <c r="BG2" s="170" t="str">
        <f t="shared" si="2"/>
        <v>ter</v>
      </c>
      <c r="BH2" s="170" t="str">
        <f t="shared" si="2"/>
        <v>qua</v>
      </c>
      <c r="BI2" s="170" t="str">
        <f t="shared" si="2"/>
        <v>qui</v>
      </c>
      <c r="BJ2" s="170" t="str">
        <f t="shared" si="2"/>
        <v>sex</v>
      </c>
      <c r="BK2" s="170" t="str">
        <f t="shared" si="2"/>
        <v>seg</v>
      </c>
      <c r="BL2" s="170" t="str">
        <f t="shared" si="2"/>
        <v>ter</v>
      </c>
      <c r="BM2" s="170" t="str">
        <f t="shared" si="2"/>
        <v>qua</v>
      </c>
      <c r="BN2" s="170" t="str">
        <f t="shared" si="2"/>
        <v>qui</v>
      </c>
      <c r="BO2" s="170" t="str">
        <f t="shared" si="2"/>
        <v>sex</v>
      </c>
      <c r="BP2" s="170" t="str">
        <f t="shared" si="2"/>
        <v>seg</v>
      </c>
      <c r="BQ2" s="169" t="str">
        <f t="shared" si="2"/>
        <v>ter</v>
      </c>
      <c r="BR2" s="168" t="s">
        <v>64</v>
      </c>
      <c r="BS2" s="168" t="s">
        <v>63</v>
      </c>
      <c r="BT2" s="170" t="str">
        <f t="shared" ref="BT2:CO2" si="3">TEXT(BT1,"ddd")</f>
        <v>qua</v>
      </c>
      <c r="BU2" s="170" t="str">
        <f t="shared" si="3"/>
        <v>qui</v>
      </c>
      <c r="BV2" s="170" t="str">
        <f t="shared" si="3"/>
        <v>sex</v>
      </c>
      <c r="BW2" s="170" t="str">
        <f t="shared" si="3"/>
        <v>seg</v>
      </c>
      <c r="BX2" s="170" t="str">
        <f t="shared" si="3"/>
        <v>ter</v>
      </c>
      <c r="BY2" s="170" t="str">
        <f t="shared" si="3"/>
        <v>qua</v>
      </c>
      <c r="BZ2" s="170" t="str">
        <f t="shared" si="3"/>
        <v>qui</v>
      </c>
      <c r="CA2" s="170" t="str">
        <f t="shared" si="3"/>
        <v>sex</v>
      </c>
      <c r="CB2" s="170" t="str">
        <f t="shared" si="3"/>
        <v>seg</v>
      </c>
      <c r="CC2" s="170" t="str">
        <f t="shared" si="3"/>
        <v>ter</v>
      </c>
      <c r="CD2" s="170" t="str">
        <f t="shared" si="3"/>
        <v>qua</v>
      </c>
      <c r="CE2" s="170" t="str">
        <f t="shared" si="3"/>
        <v>qui</v>
      </c>
      <c r="CF2" s="170" t="str">
        <f t="shared" si="3"/>
        <v>sex</v>
      </c>
      <c r="CG2" s="170" t="str">
        <f t="shared" si="3"/>
        <v>seg</v>
      </c>
      <c r="CH2" s="170" t="str">
        <f t="shared" si="3"/>
        <v>ter</v>
      </c>
      <c r="CI2" s="170" t="str">
        <f t="shared" si="3"/>
        <v>qua</v>
      </c>
      <c r="CJ2" s="170" t="str">
        <f t="shared" si="3"/>
        <v>qui</v>
      </c>
      <c r="CK2" s="170" t="str">
        <f t="shared" si="3"/>
        <v>sex</v>
      </c>
      <c r="CL2" s="170" t="str">
        <f t="shared" si="3"/>
        <v>seg</v>
      </c>
      <c r="CM2" s="170" t="str">
        <f t="shared" si="3"/>
        <v>ter</v>
      </c>
      <c r="CN2" s="170" t="str">
        <f t="shared" si="3"/>
        <v>qua</v>
      </c>
      <c r="CO2" s="169" t="str">
        <f t="shared" si="3"/>
        <v>qui</v>
      </c>
      <c r="CP2" s="168" t="s">
        <v>64</v>
      </c>
      <c r="CQ2" s="168" t="s">
        <v>63</v>
      </c>
      <c r="CR2" s="170" t="str">
        <f t="shared" ref="CR2:DL2" si="4">TEXT(CR1,"ddd")</f>
        <v>sex</v>
      </c>
      <c r="CS2" s="170" t="str">
        <f t="shared" si="4"/>
        <v>seg</v>
      </c>
      <c r="CT2" s="170" t="str">
        <f t="shared" si="4"/>
        <v>ter</v>
      </c>
      <c r="CU2" s="170" t="str">
        <f t="shared" si="4"/>
        <v>qua</v>
      </c>
      <c r="CV2" s="170" t="str">
        <f t="shared" si="4"/>
        <v>qui</v>
      </c>
      <c r="CW2" s="170" t="str">
        <f t="shared" si="4"/>
        <v>sex</v>
      </c>
      <c r="CX2" s="170" t="str">
        <f t="shared" si="4"/>
        <v>seg</v>
      </c>
      <c r="CY2" s="170" t="str">
        <f t="shared" si="4"/>
        <v>ter</v>
      </c>
      <c r="CZ2" s="170" t="str">
        <f t="shared" si="4"/>
        <v>qua</v>
      </c>
      <c r="DA2" s="170" t="str">
        <f t="shared" si="4"/>
        <v>qui</v>
      </c>
      <c r="DB2" s="170" t="str">
        <f t="shared" si="4"/>
        <v>sex</v>
      </c>
      <c r="DC2" s="170" t="str">
        <f t="shared" si="4"/>
        <v>seg</v>
      </c>
      <c r="DD2" s="170" t="str">
        <f t="shared" si="4"/>
        <v>ter</v>
      </c>
      <c r="DE2" s="170" t="str">
        <f t="shared" si="4"/>
        <v>qua</v>
      </c>
      <c r="DF2" s="170" t="str">
        <f t="shared" si="4"/>
        <v>qui</v>
      </c>
      <c r="DG2" s="170" t="str">
        <f t="shared" si="4"/>
        <v>sex</v>
      </c>
      <c r="DH2" s="170" t="str">
        <f t="shared" si="4"/>
        <v>seg</v>
      </c>
      <c r="DI2" s="170" t="str">
        <f t="shared" si="4"/>
        <v>ter</v>
      </c>
      <c r="DJ2" s="170" t="str">
        <f t="shared" si="4"/>
        <v>qua</v>
      </c>
      <c r="DK2" s="170" t="str">
        <f t="shared" si="4"/>
        <v>qui</v>
      </c>
      <c r="DL2" s="169" t="str">
        <f t="shared" si="4"/>
        <v>sex</v>
      </c>
      <c r="DM2" s="168" t="s">
        <v>64</v>
      </c>
      <c r="DN2" s="168" t="s">
        <v>63</v>
      </c>
      <c r="DO2" s="170" t="str">
        <f t="shared" ref="DO2:EJ2" si="5">TEXT(DO1,"ddd")</f>
        <v>seg</v>
      </c>
      <c r="DP2" s="170" t="str">
        <f t="shared" si="5"/>
        <v>ter</v>
      </c>
      <c r="DQ2" s="170" t="str">
        <f t="shared" si="5"/>
        <v>qua</v>
      </c>
      <c r="DR2" s="170" t="str">
        <f t="shared" si="5"/>
        <v>qui</v>
      </c>
      <c r="DS2" s="170" t="str">
        <f t="shared" si="5"/>
        <v>sex</v>
      </c>
      <c r="DT2" s="170" t="str">
        <f t="shared" si="5"/>
        <v>seg</v>
      </c>
      <c r="DU2" s="170" t="str">
        <f t="shared" si="5"/>
        <v>ter</v>
      </c>
      <c r="DV2" s="170" t="str">
        <f t="shared" si="5"/>
        <v>qua</v>
      </c>
      <c r="DW2" s="170" t="str">
        <f t="shared" si="5"/>
        <v>qui</v>
      </c>
      <c r="DX2" s="170" t="str">
        <f t="shared" si="5"/>
        <v>sex</v>
      </c>
      <c r="DY2" s="170" t="str">
        <f t="shared" si="5"/>
        <v>seg</v>
      </c>
      <c r="DZ2" s="170" t="str">
        <f t="shared" si="5"/>
        <v>ter</v>
      </c>
      <c r="EA2" s="170" t="str">
        <f t="shared" si="5"/>
        <v>qua</v>
      </c>
      <c r="EB2" s="170" t="str">
        <f t="shared" si="5"/>
        <v>qui</v>
      </c>
      <c r="EC2" s="170" t="str">
        <f t="shared" si="5"/>
        <v>sex</v>
      </c>
      <c r="ED2" s="170" t="str">
        <f t="shared" si="5"/>
        <v>seg</v>
      </c>
      <c r="EE2" s="170" t="str">
        <f t="shared" si="5"/>
        <v>ter</v>
      </c>
      <c r="EF2" s="170" t="str">
        <f t="shared" si="5"/>
        <v>qua</v>
      </c>
      <c r="EG2" s="170" t="str">
        <f t="shared" si="5"/>
        <v>qui</v>
      </c>
      <c r="EH2" s="170" t="str">
        <f t="shared" si="5"/>
        <v>sex</v>
      </c>
      <c r="EI2" s="170" t="str">
        <f t="shared" si="5"/>
        <v>seg</v>
      </c>
      <c r="EJ2" s="169" t="str">
        <f t="shared" si="5"/>
        <v>ter</v>
      </c>
      <c r="EK2" s="168" t="s">
        <v>64</v>
      </c>
      <c r="EL2" s="168" t="s">
        <v>63</v>
      </c>
      <c r="EN2" s="167"/>
    </row>
    <row r="3" spans="1:144" s="155" customFormat="1" ht="25" customHeight="1" thickBot="1">
      <c r="A3" s="165"/>
      <c r="B3" s="164"/>
      <c r="C3" s="163"/>
      <c r="D3" s="160">
        <v>41974</v>
      </c>
      <c r="E3" s="162" t="s">
        <v>62</v>
      </c>
      <c r="F3" s="162" t="s">
        <v>62</v>
      </c>
      <c r="G3" s="162" t="s">
        <v>62</v>
      </c>
      <c r="H3" s="162" t="s">
        <v>62</v>
      </c>
      <c r="I3" s="162" t="s">
        <v>62</v>
      </c>
      <c r="J3" s="162" t="s">
        <v>62</v>
      </c>
      <c r="K3" s="162" t="s">
        <v>62</v>
      </c>
      <c r="L3" s="162" t="s">
        <v>62</v>
      </c>
      <c r="M3" s="162" t="s">
        <v>62</v>
      </c>
      <c r="N3" s="162" t="s">
        <v>62</v>
      </c>
      <c r="O3" s="162" t="s">
        <v>62</v>
      </c>
      <c r="P3" s="162" t="s">
        <v>62</v>
      </c>
      <c r="Q3" s="162" t="s">
        <v>62</v>
      </c>
      <c r="R3" s="162" t="s">
        <v>62</v>
      </c>
      <c r="S3" s="162" t="s">
        <v>62</v>
      </c>
      <c r="T3" s="162" t="s">
        <v>62</v>
      </c>
      <c r="U3" s="162" t="s">
        <v>62</v>
      </c>
      <c r="V3" s="162" t="s">
        <v>62</v>
      </c>
      <c r="W3" s="162" t="s">
        <v>62</v>
      </c>
      <c r="X3" s="162" t="s">
        <v>62</v>
      </c>
      <c r="Z3" s="162" t="s">
        <v>62</v>
      </c>
      <c r="AA3" s="160">
        <v>42005</v>
      </c>
      <c r="AB3" s="157">
        <v>42005</v>
      </c>
      <c r="AC3" s="162" t="s">
        <v>73</v>
      </c>
      <c r="AD3" s="162" t="s">
        <v>73</v>
      </c>
      <c r="AE3" s="162" t="s">
        <v>73</v>
      </c>
      <c r="AF3" s="162" t="s">
        <v>73</v>
      </c>
      <c r="AG3" s="162" t="s">
        <v>73</v>
      </c>
      <c r="AH3" s="162" t="s">
        <v>73</v>
      </c>
      <c r="AI3" s="162" t="s">
        <v>73</v>
      </c>
      <c r="AJ3" s="162" t="s">
        <v>73</v>
      </c>
      <c r="AK3" s="162" t="s">
        <v>73</v>
      </c>
      <c r="AL3" s="162" t="s">
        <v>73</v>
      </c>
      <c r="AM3" s="162" t="s">
        <v>73</v>
      </c>
      <c r="AN3" s="162" t="s">
        <v>73</v>
      </c>
      <c r="AO3" s="162" t="s">
        <v>73</v>
      </c>
      <c r="AP3" s="162" t="s">
        <v>73</v>
      </c>
      <c r="AQ3" s="162" t="s">
        <v>73</v>
      </c>
      <c r="AR3" s="162" t="s">
        <v>73</v>
      </c>
      <c r="AS3" s="162" t="s">
        <v>73</v>
      </c>
      <c r="AT3" s="162" t="s">
        <v>73</v>
      </c>
      <c r="AU3" s="161">
        <f>+$AT$1</f>
        <v>42062</v>
      </c>
      <c r="AV3" s="159" t="s">
        <v>61</v>
      </c>
      <c r="AW3" s="159" t="s">
        <v>61</v>
      </c>
      <c r="AX3" s="159" t="s">
        <v>61</v>
      </c>
      <c r="AY3" s="159" t="s">
        <v>61</v>
      </c>
      <c r="AZ3" s="159" t="s">
        <v>61</v>
      </c>
      <c r="BA3" s="159" t="s">
        <v>61</v>
      </c>
      <c r="BB3" s="159" t="s">
        <v>61</v>
      </c>
      <c r="BC3" s="159" t="s">
        <v>61</v>
      </c>
      <c r="BD3" s="159" t="s">
        <v>61</v>
      </c>
      <c r="BE3" s="159" t="s">
        <v>61</v>
      </c>
      <c r="BF3" s="159" t="s">
        <v>61</v>
      </c>
      <c r="BG3" s="159" t="s">
        <v>61</v>
      </c>
      <c r="BH3" s="159" t="s">
        <v>61</v>
      </c>
      <c r="BI3" s="159" t="s">
        <v>61</v>
      </c>
      <c r="BJ3" s="159" t="s">
        <v>61</v>
      </c>
      <c r="BK3" s="159" t="s">
        <v>61</v>
      </c>
      <c r="BL3" s="159" t="s">
        <v>61</v>
      </c>
      <c r="BM3" s="159" t="s">
        <v>61</v>
      </c>
      <c r="BN3" s="159" t="s">
        <v>61</v>
      </c>
      <c r="BO3" s="159" t="s">
        <v>61</v>
      </c>
      <c r="BP3" s="159" t="s">
        <v>61</v>
      </c>
      <c r="BQ3" s="158" t="s">
        <v>61</v>
      </c>
      <c r="BR3" s="157">
        <v>42064</v>
      </c>
      <c r="BS3" s="157">
        <v>42064</v>
      </c>
      <c r="BT3" s="159" t="s">
        <v>61</v>
      </c>
      <c r="BU3" s="159" t="s">
        <v>61</v>
      </c>
      <c r="BV3" s="159" t="s">
        <v>61</v>
      </c>
      <c r="BW3" s="159" t="s">
        <v>61</v>
      </c>
      <c r="BX3" s="159" t="s">
        <v>61</v>
      </c>
      <c r="BY3" s="159" t="s">
        <v>61</v>
      </c>
      <c r="BZ3" s="159" t="s">
        <v>61</v>
      </c>
      <c r="CA3" s="159" t="s">
        <v>61</v>
      </c>
      <c r="CB3" s="159" t="s">
        <v>61</v>
      </c>
      <c r="CC3" s="159" t="s">
        <v>61</v>
      </c>
      <c r="CD3" s="159" t="s">
        <v>61</v>
      </c>
      <c r="CE3" s="159" t="s">
        <v>61</v>
      </c>
      <c r="CF3" s="159" t="s">
        <v>61</v>
      </c>
      <c r="CG3" s="159" t="s">
        <v>61</v>
      </c>
      <c r="CH3" s="159" t="s">
        <v>61</v>
      </c>
      <c r="CI3" s="159" t="s">
        <v>61</v>
      </c>
      <c r="CJ3" s="159" t="s">
        <v>61</v>
      </c>
      <c r="CK3" s="159" t="s">
        <v>61</v>
      </c>
      <c r="CL3" s="159" t="s">
        <v>61</v>
      </c>
      <c r="CM3" s="159" t="s">
        <v>61</v>
      </c>
      <c r="CN3" s="159" t="s">
        <v>61</v>
      </c>
      <c r="CO3" s="158" t="s">
        <v>61</v>
      </c>
      <c r="CP3" s="157">
        <v>42095</v>
      </c>
      <c r="CQ3" s="157">
        <v>42095</v>
      </c>
      <c r="CR3" s="159" t="s">
        <v>61</v>
      </c>
      <c r="CS3" s="159" t="s">
        <v>61</v>
      </c>
      <c r="CT3" s="159" t="s">
        <v>61</v>
      </c>
      <c r="CU3" s="159" t="s">
        <v>61</v>
      </c>
      <c r="CV3" s="159" t="s">
        <v>61</v>
      </c>
      <c r="CW3" s="159" t="s">
        <v>61</v>
      </c>
      <c r="CX3" s="159" t="s">
        <v>61</v>
      </c>
      <c r="CY3" s="159" t="s">
        <v>61</v>
      </c>
      <c r="CZ3" s="159" t="s">
        <v>61</v>
      </c>
      <c r="DA3" s="159" t="s">
        <v>61</v>
      </c>
      <c r="DB3" s="159" t="s">
        <v>61</v>
      </c>
      <c r="DC3" s="159" t="s">
        <v>61</v>
      </c>
      <c r="DD3" s="159" t="s">
        <v>61</v>
      </c>
      <c r="DE3" s="159" t="s">
        <v>61</v>
      </c>
      <c r="DF3" s="159" t="s">
        <v>61</v>
      </c>
      <c r="DG3" s="159" t="s">
        <v>61</v>
      </c>
      <c r="DH3" s="159" t="s">
        <v>61</v>
      </c>
      <c r="DI3" s="159" t="s">
        <v>61</v>
      </c>
      <c r="DJ3" s="159" t="s">
        <v>61</v>
      </c>
      <c r="DK3" s="159" t="s">
        <v>61</v>
      </c>
      <c r="DL3" s="158" t="s">
        <v>61</v>
      </c>
      <c r="DM3" s="157">
        <v>42125</v>
      </c>
      <c r="DN3" s="157">
        <v>42125</v>
      </c>
      <c r="DO3" s="159" t="s">
        <v>61</v>
      </c>
      <c r="DP3" s="159" t="s">
        <v>61</v>
      </c>
      <c r="DQ3" s="159" t="s">
        <v>61</v>
      </c>
      <c r="DR3" s="159" t="s">
        <v>61</v>
      </c>
      <c r="DS3" s="159" t="s">
        <v>61</v>
      </c>
      <c r="DT3" s="159" t="s">
        <v>61</v>
      </c>
      <c r="DU3" s="159" t="s">
        <v>61</v>
      </c>
      <c r="DV3" s="159" t="s">
        <v>61</v>
      </c>
      <c r="DW3" s="159" t="s">
        <v>61</v>
      </c>
      <c r="DX3" s="159" t="s">
        <v>61</v>
      </c>
      <c r="DY3" s="159" t="s">
        <v>61</v>
      </c>
      <c r="DZ3" s="159" t="s">
        <v>61</v>
      </c>
      <c r="EA3" s="159" t="s">
        <v>61</v>
      </c>
      <c r="EB3" s="159" t="s">
        <v>61</v>
      </c>
      <c r="EC3" s="159" t="s">
        <v>61</v>
      </c>
      <c r="ED3" s="159" t="s">
        <v>61</v>
      </c>
      <c r="EE3" s="159" t="s">
        <v>61</v>
      </c>
      <c r="EF3" s="159" t="s">
        <v>61</v>
      </c>
      <c r="EG3" s="159" t="s">
        <v>61</v>
      </c>
      <c r="EH3" s="159" t="s">
        <v>61</v>
      </c>
      <c r="EI3" s="159" t="s">
        <v>61</v>
      </c>
      <c r="EJ3" s="158" t="s">
        <v>61</v>
      </c>
      <c r="EK3" s="157">
        <v>42156</v>
      </c>
      <c r="EL3" s="157">
        <v>42156</v>
      </c>
      <c r="EN3" s="156"/>
    </row>
    <row r="4" spans="1:144" s="13" customFormat="1" ht="25" customHeight="1">
      <c r="A4" s="87"/>
      <c r="B4" s="11"/>
      <c r="C4" s="154" t="s">
        <v>60</v>
      </c>
      <c r="D4" s="152"/>
      <c r="E4" s="153">
        <f t="shared" ref="E4:X4" si="6">+D5</f>
        <v>6662295.8569992781</v>
      </c>
      <c r="F4" s="137">
        <f t="shared" si="6"/>
        <v>4577575.8969992809</v>
      </c>
      <c r="G4" s="137">
        <f t="shared" si="6"/>
        <v>3457821.596999282</v>
      </c>
      <c r="H4" s="137">
        <f t="shared" si="6"/>
        <v>4808829.6969992816</v>
      </c>
      <c r="I4" s="137">
        <f t="shared" si="6"/>
        <v>4934955.886999283</v>
      </c>
      <c r="J4" s="137">
        <f t="shared" si="6"/>
        <v>20278132.026999284</v>
      </c>
      <c r="K4" s="137">
        <f t="shared" si="6"/>
        <v>27595394.696999278</v>
      </c>
      <c r="L4" s="137">
        <f t="shared" si="6"/>
        <v>31811482.106999271</v>
      </c>
      <c r="M4" s="137">
        <f t="shared" si="6"/>
        <v>35796532.606999263</v>
      </c>
      <c r="N4" s="137">
        <f t="shared" si="6"/>
        <v>39485646.286999263</v>
      </c>
      <c r="O4" s="137">
        <f t="shared" si="6"/>
        <v>31161651.316999264</v>
      </c>
      <c r="P4" s="137">
        <f t="shared" si="6"/>
        <v>3208847.4269992635</v>
      </c>
      <c r="Q4" s="137">
        <f t="shared" si="6"/>
        <v>3376636.3969992651</v>
      </c>
      <c r="R4" s="137">
        <f t="shared" si="6"/>
        <v>5789430.656999262</v>
      </c>
      <c r="S4" s="137">
        <f t="shared" si="6"/>
        <v>4718275.3869992606</v>
      </c>
      <c r="T4" s="137">
        <f t="shared" si="6"/>
        <v>4469302.7669992596</v>
      </c>
      <c r="U4" s="137">
        <f t="shared" si="6"/>
        <v>2871135.6269992571</v>
      </c>
      <c r="V4" s="137">
        <f t="shared" si="6"/>
        <v>8364397.6769992411</v>
      </c>
      <c r="W4" s="137">
        <f t="shared" si="6"/>
        <v>17259511.766999241</v>
      </c>
      <c r="X4" s="137">
        <f t="shared" si="6"/>
        <v>27935659.816999234</v>
      </c>
      <c r="Z4" s="139">
        <f>+X5</f>
        <v>33823871.786999241</v>
      </c>
      <c r="AA4" s="152">
        <f>+E4</f>
        <v>6662295.8569992781</v>
      </c>
      <c r="AB4" s="150"/>
      <c r="AC4" s="137">
        <v>25096299.616999269</v>
      </c>
      <c r="AD4" s="137">
        <v>31800847.566999264</v>
      </c>
      <c r="AE4" s="137">
        <v>32214858.646999262</v>
      </c>
      <c r="AF4" s="137">
        <v>32001226.236999262</v>
      </c>
      <c r="AG4" s="137">
        <v>28284630.51699926</v>
      </c>
      <c r="AH4" s="137">
        <v>6848192.4069992676</v>
      </c>
      <c r="AI4" s="137">
        <v>4729927.5869992655</v>
      </c>
      <c r="AJ4" s="137">
        <v>30598661.106999271</v>
      </c>
      <c r="AK4" s="137">
        <v>14699208.316999272</v>
      </c>
      <c r="AL4" s="137">
        <v>33758513.766999274</v>
      </c>
      <c r="AM4" s="137">
        <f t="shared" ref="AM4:AP4" si="7">+AL5</f>
        <v>66355149.756999269</v>
      </c>
      <c r="AN4" s="137">
        <f t="shared" si="7"/>
        <v>23456365.45699925</v>
      </c>
      <c r="AO4" s="137">
        <f t="shared" si="7"/>
        <v>21212388.086999252</v>
      </c>
      <c r="AP4" s="137">
        <f t="shared" si="7"/>
        <v>20101575.096999262</v>
      </c>
      <c r="AQ4" s="137">
        <f>+AP5</f>
        <v>41604907.416999266</v>
      </c>
      <c r="AR4" s="137">
        <f>+AQ5</f>
        <v>15196454.116999269</v>
      </c>
      <c r="AS4" s="137">
        <f>+AR5</f>
        <v>29476085.306999262</v>
      </c>
      <c r="AT4" s="137">
        <f>+AS5</f>
        <v>46378680.386999264</v>
      </c>
      <c r="AU4" s="152">
        <f>AC4</f>
        <v>25096299.616999269</v>
      </c>
      <c r="AV4" s="137" t="e">
        <f>+#REF!</f>
        <v>#REF!</v>
      </c>
      <c r="AW4" s="137" t="e">
        <f t="shared" ref="AW4:BQ4" si="8">+AV5</f>
        <v>#REF!</v>
      </c>
      <c r="AX4" s="137" t="e">
        <f t="shared" si="8"/>
        <v>#REF!</v>
      </c>
      <c r="AY4" s="137" t="e">
        <f t="shared" si="8"/>
        <v>#REF!</v>
      </c>
      <c r="AZ4" s="137" t="e">
        <f t="shared" si="8"/>
        <v>#REF!</v>
      </c>
      <c r="BA4" s="137" t="e">
        <f t="shared" si="8"/>
        <v>#REF!</v>
      </c>
      <c r="BB4" s="137" t="e">
        <f t="shared" si="8"/>
        <v>#REF!</v>
      </c>
      <c r="BC4" s="137" t="e">
        <f t="shared" si="8"/>
        <v>#REF!</v>
      </c>
      <c r="BD4" s="137" t="e">
        <f t="shared" si="8"/>
        <v>#REF!</v>
      </c>
      <c r="BE4" s="137" t="e">
        <f t="shared" si="8"/>
        <v>#REF!</v>
      </c>
      <c r="BF4" s="137" t="e">
        <f t="shared" si="8"/>
        <v>#REF!</v>
      </c>
      <c r="BG4" s="137" t="e">
        <f t="shared" si="8"/>
        <v>#REF!</v>
      </c>
      <c r="BH4" s="137" t="e">
        <f t="shared" si="8"/>
        <v>#REF!</v>
      </c>
      <c r="BI4" s="137" t="e">
        <f t="shared" si="8"/>
        <v>#REF!</v>
      </c>
      <c r="BJ4" s="137" t="e">
        <f t="shared" si="8"/>
        <v>#REF!</v>
      </c>
      <c r="BK4" s="137" t="e">
        <f t="shared" si="8"/>
        <v>#REF!</v>
      </c>
      <c r="BL4" s="137" t="e">
        <f t="shared" si="8"/>
        <v>#REF!</v>
      </c>
      <c r="BM4" s="137" t="e">
        <f t="shared" si="8"/>
        <v>#REF!</v>
      </c>
      <c r="BN4" s="137" t="e">
        <f t="shared" si="8"/>
        <v>#REF!</v>
      </c>
      <c r="BO4" s="137" t="e">
        <f t="shared" si="8"/>
        <v>#REF!</v>
      </c>
      <c r="BP4" s="137" t="e">
        <f t="shared" si="8"/>
        <v>#REF!</v>
      </c>
      <c r="BQ4" s="139" t="e">
        <f t="shared" si="8"/>
        <v>#REF!</v>
      </c>
      <c r="BR4" s="151" t="e">
        <f>+#REF!</f>
        <v>#REF!</v>
      </c>
      <c r="BS4" s="150"/>
      <c r="BT4" s="137" t="e">
        <f>+BQ5</f>
        <v>#REF!</v>
      </c>
      <c r="BU4" s="137" t="e">
        <f t="shared" ref="BU4:CO4" si="9">+BT5</f>
        <v>#REF!</v>
      </c>
      <c r="BV4" s="137" t="e">
        <f t="shared" si="9"/>
        <v>#REF!</v>
      </c>
      <c r="BW4" s="137" t="e">
        <f t="shared" si="9"/>
        <v>#REF!</v>
      </c>
      <c r="BX4" s="137" t="e">
        <f t="shared" si="9"/>
        <v>#REF!</v>
      </c>
      <c r="BY4" s="137" t="e">
        <f t="shared" si="9"/>
        <v>#REF!</v>
      </c>
      <c r="BZ4" s="137" t="e">
        <f t="shared" si="9"/>
        <v>#REF!</v>
      </c>
      <c r="CA4" s="137" t="e">
        <f t="shared" si="9"/>
        <v>#REF!</v>
      </c>
      <c r="CB4" s="137" t="e">
        <f t="shared" si="9"/>
        <v>#REF!</v>
      </c>
      <c r="CC4" s="137" t="e">
        <f t="shared" si="9"/>
        <v>#REF!</v>
      </c>
      <c r="CD4" s="137" t="e">
        <f t="shared" si="9"/>
        <v>#REF!</v>
      </c>
      <c r="CE4" s="137" t="e">
        <f t="shared" si="9"/>
        <v>#REF!</v>
      </c>
      <c r="CF4" s="137" t="e">
        <f t="shared" si="9"/>
        <v>#REF!</v>
      </c>
      <c r="CG4" s="137" t="e">
        <f t="shared" si="9"/>
        <v>#REF!</v>
      </c>
      <c r="CH4" s="137" t="e">
        <f t="shared" si="9"/>
        <v>#REF!</v>
      </c>
      <c r="CI4" s="137" t="e">
        <f t="shared" si="9"/>
        <v>#REF!</v>
      </c>
      <c r="CJ4" s="137" t="e">
        <f t="shared" si="9"/>
        <v>#REF!</v>
      </c>
      <c r="CK4" s="137" t="e">
        <f t="shared" si="9"/>
        <v>#REF!</v>
      </c>
      <c r="CL4" s="137" t="e">
        <f t="shared" si="9"/>
        <v>#REF!</v>
      </c>
      <c r="CM4" s="137" t="e">
        <f t="shared" si="9"/>
        <v>#REF!</v>
      </c>
      <c r="CN4" s="137" t="e">
        <f t="shared" si="9"/>
        <v>#REF!</v>
      </c>
      <c r="CO4" s="139" t="e">
        <f t="shared" si="9"/>
        <v>#REF!</v>
      </c>
      <c r="CP4" s="151">
        <f>+K4</f>
        <v>27595394.696999278</v>
      </c>
      <c r="CQ4" s="150"/>
      <c r="CR4" s="137" t="e">
        <f>+CO5</f>
        <v>#REF!</v>
      </c>
      <c r="CS4" s="137" t="e">
        <f t="shared" ref="CS4:DL4" si="10">+CR5</f>
        <v>#REF!</v>
      </c>
      <c r="CT4" s="137" t="e">
        <f t="shared" si="10"/>
        <v>#REF!</v>
      </c>
      <c r="CU4" s="137" t="e">
        <f t="shared" si="10"/>
        <v>#REF!</v>
      </c>
      <c r="CV4" s="137" t="e">
        <f t="shared" si="10"/>
        <v>#REF!</v>
      </c>
      <c r="CW4" s="137" t="e">
        <f t="shared" si="10"/>
        <v>#REF!</v>
      </c>
      <c r="CX4" s="137" t="e">
        <f t="shared" si="10"/>
        <v>#REF!</v>
      </c>
      <c r="CY4" s="137" t="e">
        <f t="shared" si="10"/>
        <v>#REF!</v>
      </c>
      <c r="CZ4" s="137" t="e">
        <f t="shared" si="10"/>
        <v>#REF!</v>
      </c>
      <c r="DA4" s="137" t="e">
        <f t="shared" si="10"/>
        <v>#REF!</v>
      </c>
      <c r="DB4" s="137" t="e">
        <f t="shared" si="10"/>
        <v>#REF!</v>
      </c>
      <c r="DC4" s="137" t="e">
        <f t="shared" si="10"/>
        <v>#REF!</v>
      </c>
      <c r="DD4" s="137" t="e">
        <f t="shared" si="10"/>
        <v>#REF!</v>
      </c>
      <c r="DE4" s="137" t="e">
        <f t="shared" si="10"/>
        <v>#REF!</v>
      </c>
      <c r="DF4" s="137" t="e">
        <f t="shared" si="10"/>
        <v>#REF!</v>
      </c>
      <c r="DG4" s="137" t="e">
        <f t="shared" si="10"/>
        <v>#REF!</v>
      </c>
      <c r="DH4" s="137" t="e">
        <f t="shared" si="10"/>
        <v>#REF!</v>
      </c>
      <c r="DI4" s="137" t="e">
        <f t="shared" si="10"/>
        <v>#REF!</v>
      </c>
      <c r="DJ4" s="137" t="e">
        <f t="shared" si="10"/>
        <v>#REF!</v>
      </c>
      <c r="DK4" s="137" t="e">
        <f t="shared" si="10"/>
        <v>#REF!</v>
      </c>
      <c r="DL4" s="139" t="e">
        <f t="shared" si="10"/>
        <v>#REF!</v>
      </c>
      <c r="DM4" s="151">
        <f>+M4</f>
        <v>35796532.606999263</v>
      </c>
      <c r="DN4" s="150"/>
      <c r="DO4" s="137" t="e">
        <f>+DL5</f>
        <v>#REF!</v>
      </c>
      <c r="DP4" s="137" t="e">
        <f t="shared" ref="DP4:EJ4" si="11">+DO5</f>
        <v>#REF!</v>
      </c>
      <c r="DQ4" s="137" t="e">
        <f t="shared" si="11"/>
        <v>#REF!</v>
      </c>
      <c r="DR4" s="137" t="e">
        <f t="shared" si="11"/>
        <v>#REF!</v>
      </c>
      <c r="DS4" s="137" t="e">
        <f t="shared" si="11"/>
        <v>#REF!</v>
      </c>
      <c r="DT4" s="137" t="e">
        <f t="shared" si="11"/>
        <v>#REF!</v>
      </c>
      <c r="DU4" s="137" t="e">
        <f t="shared" si="11"/>
        <v>#REF!</v>
      </c>
      <c r="DV4" s="137" t="e">
        <f t="shared" si="11"/>
        <v>#REF!</v>
      </c>
      <c r="DW4" s="137" t="e">
        <f t="shared" si="11"/>
        <v>#REF!</v>
      </c>
      <c r="DX4" s="137" t="e">
        <f t="shared" si="11"/>
        <v>#REF!</v>
      </c>
      <c r="DY4" s="137" t="e">
        <f t="shared" si="11"/>
        <v>#REF!</v>
      </c>
      <c r="DZ4" s="137" t="e">
        <f t="shared" si="11"/>
        <v>#REF!</v>
      </c>
      <c r="EA4" s="137" t="e">
        <f t="shared" si="11"/>
        <v>#REF!</v>
      </c>
      <c r="EB4" s="137" t="e">
        <f t="shared" si="11"/>
        <v>#REF!</v>
      </c>
      <c r="EC4" s="137" t="e">
        <f t="shared" si="11"/>
        <v>#REF!</v>
      </c>
      <c r="ED4" s="137" t="e">
        <f t="shared" si="11"/>
        <v>#REF!</v>
      </c>
      <c r="EE4" s="137" t="e">
        <f t="shared" si="11"/>
        <v>#REF!</v>
      </c>
      <c r="EF4" s="137" t="e">
        <f t="shared" si="11"/>
        <v>#REF!</v>
      </c>
      <c r="EG4" s="137" t="e">
        <f t="shared" si="11"/>
        <v>#REF!</v>
      </c>
      <c r="EH4" s="137" t="e">
        <f t="shared" si="11"/>
        <v>#REF!</v>
      </c>
      <c r="EI4" s="137" t="e">
        <f t="shared" si="11"/>
        <v>#REF!</v>
      </c>
      <c r="EJ4" s="139" t="e">
        <f t="shared" si="11"/>
        <v>#REF!</v>
      </c>
      <c r="EK4" s="151">
        <f>+O4</f>
        <v>31161651.316999264</v>
      </c>
      <c r="EL4" s="150"/>
      <c r="EN4" s="21"/>
    </row>
    <row r="5" spans="1:144" s="65" customFormat="1" ht="25" customHeight="1">
      <c r="A5" s="81"/>
      <c r="B5" s="11"/>
      <c r="C5" s="149" t="s">
        <v>59</v>
      </c>
      <c r="D5" s="148">
        <v>6662295.8569992781</v>
      </c>
      <c r="E5" s="147">
        <f t="shared" ref="E5:X5" si="12">+E4+E15+E20+E22-E60</f>
        <v>4577575.8969992809</v>
      </c>
      <c r="F5" s="147">
        <f t="shared" si="12"/>
        <v>3457821.596999282</v>
      </c>
      <c r="G5" s="147">
        <f t="shared" si="12"/>
        <v>4808829.6969992816</v>
      </c>
      <c r="H5" s="147">
        <f t="shared" si="12"/>
        <v>4934955.886999283</v>
      </c>
      <c r="I5" s="147">
        <f t="shared" si="12"/>
        <v>20278132.026999284</v>
      </c>
      <c r="J5" s="147">
        <f t="shared" si="12"/>
        <v>27595394.696999278</v>
      </c>
      <c r="K5" s="147">
        <f t="shared" si="12"/>
        <v>31811482.106999271</v>
      </c>
      <c r="L5" s="147">
        <f t="shared" si="12"/>
        <v>35796532.606999263</v>
      </c>
      <c r="M5" s="147">
        <f t="shared" si="12"/>
        <v>39485646.286999263</v>
      </c>
      <c r="N5" s="147">
        <f t="shared" si="12"/>
        <v>31161651.316999264</v>
      </c>
      <c r="O5" s="147">
        <f t="shared" si="12"/>
        <v>3208847.4269992635</v>
      </c>
      <c r="P5" s="147">
        <f t="shared" si="12"/>
        <v>3376636.3969992651</v>
      </c>
      <c r="Q5" s="147">
        <f t="shared" si="12"/>
        <v>5789430.656999262</v>
      </c>
      <c r="R5" s="147">
        <f t="shared" si="12"/>
        <v>4718275.3869992606</v>
      </c>
      <c r="S5" s="147">
        <f t="shared" si="12"/>
        <v>4469302.7669992596</v>
      </c>
      <c r="T5" s="147">
        <f t="shared" si="12"/>
        <v>2871135.6269992571</v>
      </c>
      <c r="U5" s="147">
        <f t="shared" si="12"/>
        <v>8364397.6769992411</v>
      </c>
      <c r="V5" s="147">
        <f t="shared" si="12"/>
        <v>17259511.766999241</v>
      </c>
      <c r="W5" s="147">
        <f t="shared" si="12"/>
        <v>27935659.816999234</v>
      </c>
      <c r="X5" s="147">
        <f t="shared" si="12"/>
        <v>33823871.786999241</v>
      </c>
      <c r="Z5" s="146">
        <f>+Z4+Z15+Z20+Z22-Z60</f>
        <v>25096299.616999239</v>
      </c>
      <c r="AA5" s="148">
        <f>+AA4+AA15+AA20+AA22-AA60-D20</f>
        <v>25096299.616999269</v>
      </c>
      <c r="AB5" s="62"/>
      <c r="AC5" s="147">
        <v>31800847.566999264</v>
      </c>
      <c r="AD5" s="147">
        <v>32214858.646999262</v>
      </c>
      <c r="AE5" s="147">
        <v>32001226.236999262</v>
      </c>
      <c r="AF5" s="147">
        <v>28284630.51699926</v>
      </c>
      <c r="AG5" s="147">
        <v>6848192.4069992676</v>
      </c>
      <c r="AH5" s="147">
        <v>4729927.5869992655</v>
      </c>
      <c r="AI5" s="147">
        <v>30598661.106999271</v>
      </c>
      <c r="AJ5" s="147">
        <v>14699208.316999272</v>
      </c>
      <c r="AK5" s="147">
        <v>33758513.766999274</v>
      </c>
      <c r="AL5" s="147">
        <v>66355149.756999269</v>
      </c>
      <c r="AM5" s="147">
        <f t="shared" ref="AM5:AT5" si="13">+AM4+AM15+AM20+AM22-AM60</f>
        <v>23456365.45699925</v>
      </c>
      <c r="AN5" s="147">
        <f t="shared" si="13"/>
        <v>21212388.086999252</v>
      </c>
      <c r="AO5" s="147">
        <f t="shared" si="13"/>
        <v>20101575.096999262</v>
      </c>
      <c r="AP5" s="147">
        <f t="shared" si="13"/>
        <v>41604907.416999266</v>
      </c>
      <c r="AQ5" s="147">
        <f t="shared" si="13"/>
        <v>15196454.116999269</v>
      </c>
      <c r="AR5" s="147">
        <f t="shared" si="13"/>
        <v>29476085.306999262</v>
      </c>
      <c r="AS5" s="147">
        <f t="shared" si="13"/>
        <v>46378680.386999264</v>
      </c>
      <c r="AT5" s="147">
        <f t="shared" si="13"/>
        <v>47439960.396999255</v>
      </c>
      <c r="AU5" s="148">
        <f>+AU4+AU15+AU20+AU22-AU60-AC20</f>
        <v>47439960.39699918</v>
      </c>
      <c r="AV5" s="147" t="e">
        <f t="shared" ref="AV5:BQ5" si="14">+AV4+AV15+AV20+AV22-AV60</f>
        <v>#REF!</v>
      </c>
      <c r="AW5" s="147" t="e">
        <f t="shared" si="14"/>
        <v>#REF!</v>
      </c>
      <c r="AX5" s="147" t="e">
        <f t="shared" si="14"/>
        <v>#REF!</v>
      </c>
      <c r="AY5" s="147" t="e">
        <f t="shared" si="14"/>
        <v>#REF!</v>
      </c>
      <c r="AZ5" s="147" t="e">
        <f t="shared" si="14"/>
        <v>#REF!</v>
      </c>
      <c r="BA5" s="147" t="e">
        <f t="shared" si="14"/>
        <v>#REF!</v>
      </c>
      <c r="BB5" s="147" t="e">
        <f t="shared" si="14"/>
        <v>#REF!</v>
      </c>
      <c r="BC5" s="147" t="e">
        <f t="shared" si="14"/>
        <v>#REF!</v>
      </c>
      <c r="BD5" s="147" t="e">
        <f t="shared" si="14"/>
        <v>#REF!</v>
      </c>
      <c r="BE5" s="147" t="e">
        <f t="shared" si="14"/>
        <v>#REF!</v>
      </c>
      <c r="BF5" s="147" t="e">
        <f t="shared" si="14"/>
        <v>#REF!</v>
      </c>
      <c r="BG5" s="147" t="e">
        <f t="shared" si="14"/>
        <v>#REF!</v>
      </c>
      <c r="BH5" s="147" t="e">
        <f t="shared" si="14"/>
        <v>#REF!</v>
      </c>
      <c r="BI5" s="147" t="e">
        <f t="shared" si="14"/>
        <v>#REF!</v>
      </c>
      <c r="BJ5" s="147" t="e">
        <f t="shared" si="14"/>
        <v>#REF!</v>
      </c>
      <c r="BK5" s="147" t="e">
        <f t="shared" si="14"/>
        <v>#REF!</v>
      </c>
      <c r="BL5" s="147" t="e">
        <f t="shared" si="14"/>
        <v>#REF!</v>
      </c>
      <c r="BM5" s="147" t="e">
        <f t="shared" si="14"/>
        <v>#REF!</v>
      </c>
      <c r="BN5" s="147" t="e">
        <f t="shared" si="14"/>
        <v>#REF!</v>
      </c>
      <c r="BO5" s="147" t="e">
        <f t="shared" si="14"/>
        <v>#REF!</v>
      </c>
      <c r="BP5" s="147" t="e">
        <f t="shared" si="14"/>
        <v>#REF!</v>
      </c>
      <c r="BQ5" s="146" t="e">
        <f t="shared" si="14"/>
        <v>#REF!</v>
      </c>
      <c r="BR5" s="63" t="e">
        <f>+BR4+BR15+BR20+BR22-BR60-#REF!</f>
        <v>#REF!</v>
      </c>
      <c r="BS5" s="62"/>
      <c r="BT5" s="147" t="e">
        <f t="shared" ref="BT5:CO5" si="15">+BT4+BT15+BT20+BT22-BT60</f>
        <v>#REF!</v>
      </c>
      <c r="BU5" s="147" t="e">
        <f t="shared" si="15"/>
        <v>#REF!</v>
      </c>
      <c r="BV5" s="147" t="e">
        <f t="shared" si="15"/>
        <v>#REF!</v>
      </c>
      <c r="BW5" s="147" t="e">
        <f t="shared" si="15"/>
        <v>#REF!</v>
      </c>
      <c r="BX5" s="147" t="e">
        <f t="shared" si="15"/>
        <v>#REF!</v>
      </c>
      <c r="BY5" s="147" t="e">
        <f t="shared" si="15"/>
        <v>#REF!</v>
      </c>
      <c r="BZ5" s="147" t="e">
        <f t="shared" si="15"/>
        <v>#REF!</v>
      </c>
      <c r="CA5" s="147" t="e">
        <f t="shared" si="15"/>
        <v>#REF!</v>
      </c>
      <c r="CB5" s="147" t="e">
        <f t="shared" si="15"/>
        <v>#REF!</v>
      </c>
      <c r="CC5" s="147" t="e">
        <f t="shared" si="15"/>
        <v>#REF!</v>
      </c>
      <c r="CD5" s="147" t="e">
        <f t="shared" si="15"/>
        <v>#REF!</v>
      </c>
      <c r="CE5" s="147" t="e">
        <f t="shared" si="15"/>
        <v>#REF!</v>
      </c>
      <c r="CF5" s="147" t="e">
        <f t="shared" si="15"/>
        <v>#REF!</v>
      </c>
      <c r="CG5" s="147" t="e">
        <f t="shared" si="15"/>
        <v>#REF!</v>
      </c>
      <c r="CH5" s="147" t="e">
        <f t="shared" si="15"/>
        <v>#REF!</v>
      </c>
      <c r="CI5" s="147" t="e">
        <f t="shared" si="15"/>
        <v>#REF!</v>
      </c>
      <c r="CJ5" s="147" t="e">
        <f t="shared" si="15"/>
        <v>#REF!</v>
      </c>
      <c r="CK5" s="147" t="e">
        <f t="shared" si="15"/>
        <v>#REF!</v>
      </c>
      <c r="CL5" s="147" t="e">
        <f t="shared" si="15"/>
        <v>#REF!</v>
      </c>
      <c r="CM5" s="147" t="e">
        <f t="shared" si="15"/>
        <v>#REF!</v>
      </c>
      <c r="CN5" s="147" t="e">
        <f t="shared" si="15"/>
        <v>#REF!</v>
      </c>
      <c r="CO5" s="146" t="e">
        <f t="shared" si="15"/>
        <v>#REF!</v>
      </c>
      <c r="CP5" s="63" t="e">
        <f>+CP4+CP15+CP20+CP22-CP60-J20</f>
        <v>#REF!</v>
      </c>
      <c r="CQ5" s="62"/>
      <c r="CR5" s="147" t="e">
        <f t="shared" ref="CR5:DL5" si="16">+CR4+CR15+CR20+CR22-CR60</f>
        <v>#REF!</v>
      </c>
      <c r="CS5" s="147" t="e">
        <f t="shared" si="16"/>
        <v>#REF!</v>
      </c>
      <c r="CT5" s="147" t="e">
        <f t="shared" si="16"/>
        <v>#REF!</v>
      </c>
      <c r="CU5" s="147" t="e">
        <f t="shared" si="16"/>
        <v>#REF!</v>
      </c>
      <c r="CV5" s="147" t="e">
        <f t="shared" si="16"/>
        <v>#REF!</v>
      </c>
      <c r="CW5" s="147" t="e">
        <f t="shared" si="16"/>
        <v>#REF!</v>
      </c>
      <c r="CX5" s="147" t="e">
        <f t="shared" si="16"/>
        <v>#REF!</v>
      </c>
      <c r="CY5" s="147" t="e">
        <f t="shared" si="16"/>
        <v>#REF!</v>
      </c>
      <c r="CZ5" s="147" t="e">
        <f t="shared" si="16"/>
        <v>#REF!</v>
      </c>
      <c r="DA5" s="147" t="e">
        <f t="shared" si="16"/>
        <v>#REF!</v>
      </c>
      <c r="DB5" s="147" t="e">
        <f t="shared" si="16"/>
        <v>#REF!</v>
      </c>
      <c r="DC5" s="147" t="e">
        <f t="shared" si="16"/>
        <v>#REF!</v>
      </c>
      <c r="DD5" s="147" t="e">
        <f t="shared" si="16"/>
        <v>#REF!</v>
      </c>
      <c r="DE5" s="147" t="e">
        <f t="shared" si="16"/>
        <v>#REF!</v>
      </c>
      <c r="DF5" s="147" t="e">
        <f t="shared" si="16"/>
        <v>#REF!</v>
      </c>
      <c r="DG5" s="147" t="e">
        <f t="shared" si="16"/>
        <v>#REF!</v>
      </c>
      <c r="DH5" s="147" t="e">
        <f t="shared" si="16"/>
        <v>#REF!</v>
      </c>
      <c r="DI5" s="147" t="e">
        <f t="shared" si="16"/>
        <v>#REF!</v>
      </c>
      <c r="DJ5" s="147" t="e">
        <f t="shared" si="16"/>
        <v>#REF!</v>
      </c>
      <c r="DK5" s="147" t="e">
        <f t="shared" si="16"/>
        <v>#REF!</v>
      </c>
      <c r="DL5" s="146" t="e">
        <f t="shared" si="16"/>
        <v>#REF!</v>
      </c>
      <c r="DM5" s="63" t="e">
        <f>+DM4+DM15+DM20+DM22-DM60-L20</f>
        <v>#REF!</v>
      </c>
      <c r="DN5" s="62"/>
      <c r="DO5" s="147" t="e">
        <f t="shared" ref="DO5:EJ5" si="17">+DO4+DO15+DO20+DO22-DO60</f>
        <v>#REF!</v>
      </c>
      <c r="DP5" s="147" t="e">
        <f t="shared" si="17"/>
        <v>#REF!</v>
      </c>
      <c r="DQ5" s="147" t="e">
        <f t="shared" si="17"/>
        <v>#REF!</v>
      </c>
      <c r="DR5" s="147" t="e">
        <f t="shared" si="17"/>
        <v>#REF!</v>
      </c>
      <c r="DS5" s="147" t="e">
        <f t="shared" si="17"/>
        <v>#REF!</v>
      </c>
      <c r="DT5" s="147" t="e">
        <f t="shared" si="17"/>
        <v>#REF!</v>
      </c>
      <c r="DU5" s="147" t="e">
        <f t="shared" si="17"/>
        <v>#REF!</v>
      </c>
      <c r="DV5" s="147" t="e">
        <f t="shared" si="17"/>
        <v>#REF!</v>
      </c>
      <c r="DW5" s="147" t="e">
        <f t="shared" si="17"/>
        <v>#REF!</v>
      </c>
      <c r="DX5" s="147" t="e">
        <f t="shared" si="17"/>
        <v>#REF!</v>
      </c>
      <c r="DY5" s="147" t="e">
        <f t="shared" si="17"/>
        <v>#REF!</v>
      </c>
      <c r="DZ5" s="147" t="e">
        <f t="shared" si="17"/>
        <v>#REF!</v>
      </c>
      <c r="EA5" s="147" t="e">
        <f t="shared" si="17"/>
        <v>#REF!</v>
      </c>
      <c r="EB5" s="147" t="e">
        <f t="shared" si="17"/>
        <v>#REF!</v>
      </c>
      <c r="EC5" s="147" t="e">
        <f t="shared" si="17"/>
        <v>#REF!</v>
      </c>
      <c r="ED5" s="147" t="e">
        <f t="shared" si="17"/>
        <v>#REF!</v>
      </c>
      <c r="EE5" s="147" t="e">
        <f t="shared" si="17"/>
        <v>#REF!</v>
      </c>
      <c r="EF5" s="147" t="e">
        <f t="shared" si="17"/>
        <v>#REF!</v>
      </c>
      <c r="EG5" s="147" t="e">
        <f t="shared" si="17"/>
        <v>#REF!</v>
      </c>
      <c r="EH5" s="147" t="e">
        <f t="shared" si="17"/>
        <v>#REF!</v>
      </c>
      <c r="EI5" s="147" t="e">
        <f t="shared" si="17"/>
        <v>#REF!</v>
      </c>
      <c r="EJ5" s="146" t="e">
        <f t="shared" si="17"/>
        <v>#REF!</v>
      </c>
      <c r="EK5" s="63" t="e">
        <f>+EK4+EK15+EK20+EK22-EK60-N20</f>
        <v>#REF!</v>
      </c>
      <c r="EL5" s="62"/>
      <c r="EN5" s="66"/>
    </row>
    <row r="6" spans="1:144" s="13" customFormat="1" ht="25" customHeight="1" thickBot="1">
      <c r="A6" s="87"/>
      <c r="B6" s="11"/>
      <c r="C6" s="145" t="s">
        <v>58</v>
      </c>
      <c r="D6" s="40">
        <f t="shared" ref="D6:X6" si="18">+D76</f>
        <v>-17891800</v>
      </c>
      <c r="E6" s="41">
        <f t="shared" si="18"/>
        <v>-5871543</v>
      </c>
      <c r="F6" s="41">
        <f t="shared" si="18"/>
        <v>-2857466</v>
      </c>
      <c r="G6" s="41">
        <f t="shared" si="18"/>
        <v>-12693783</v>
      </c>
      <c r="H6" s="41">
        <f t="shared" si="18"/>
        <v>-3663058</v>
      </c>
      <c r="I6" s="41">
        <f t="shared" si="18"/>
        <v>0</v>
      </c>
      <c r="J6" s="41">
        <f t="shared" si="18"/>
        <v>0</v>
      </c>
      <c r="K6" s="41">
        <f t="shared" si="18"/>
        <v>0</v>
      </c>
      <c r="L6" s="41">
        <f t="shared" si="18"/>
        <v>0</v>
      </c>
      <c r="M6" s="41">
        <f t="shared" si="18"/>
        <v>0</v>
      </c>
      <c r="N6" s="41">
        <f t="shared" si="18"/>
        <v>0</v>
      </c>
      <c r="O6" s="144">
        <f t="shared" si="18"/>
        <v>0</v>
      </c>
      <c r="P6" s="144">
        <f t="shared" si="18"/>
        <v>-8584880</v>
      </c>
      <c r="Q6" s="144">
        <f t="shared" si="18"/>
        <v>-17910272</v>
      </c>
      <c r="R6" s="144">
        <f t="shared" si="18"/>
        <v>-21702462</v>
      </c>
      <c r="S6" s="144">
        <f t="shared" si="18"/>
        <v>-26742756</v>
      </c>
      <c r="T6" s="144">
        <f t="shared" si="18"/>
        <v>-51800538</v>
      </c>
      <c r="U6" s="144">
        <f t="shared" si="18"/>
        <v>0</v>
      </c>
      <c r="V6" s="144">
        <f t="shared" si="18"/>
        <v>0</v>
      </c>
      <c r="W6" s="144">
        <f t="shared" si="18"/>
        <v>0</v>
      </c>
      <c r="X6" s="144">
        <f t="shared" si="18"/>
        <v>0</v>
      </c>
      <c r="Z6" s="143">
        <f>+Z76</f>
        <v>0</v>
      </c>
      <c r="AA6" s="142">
        <f>+Z6</f>
        <v>0</v>
      </c>
      <c r="AB6" s="62"/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-3862865</v>
      </c>
      <c r="AI6" s="41">
        <v>-5350007</v>
      </c>
      <c r="AJ6" s="41">
        <v>0</v>
      </c>
      <c r="AK6" s="41">
        <v>0</v>
      </c>
      <c r="AL6" s="41">
        <v>0</v>
      </c>
      <c r="AM6" s="41">
        <f t="shared" ref="AM6:AT6" si="19">+AM76</f>
        <v>0</v>
      </c>
      <c r="AN6" s="41">
        <f t="shared" si="19"/>
        <v>0</v>
      </c>
      <c r="AO6" s="41">
        <f t="shared" si="19"/>
        <v>0</v>
      </c>
      <c r="AP6" s="41">
        <f t="shared" si="19"/>
        <v>0</v>
      </c>
      <c r="AQ6" s="41">
        <f t="shared" si="19"/>
        <v>0</v>
      </c>
      <c r="AR6" s="41">
        <f t="shared" si="19"/>
        <v>0</v>
      </c>
      <c r="AS6" s="41">
        <f t="shared" si="19"/>
        <v>0</v>
      </c>
      <c r="AT6" s="41">
        <f t="shared" si="19"/>
        <v>0</v>
      </c>
      <c r="AU6" s="40">
        <f>+$X$6</f>
        <v>0</v>
      </c>
      <c r="AV6" s="41" t="e">
        <f t="shared" ref="AV6:BQ6" si="20">+AV76</f>
        <v>#REF!</v>
      </c>
      <c r="AW6" s="41" t="e">
        <f t="shared" si="20"/>
        <v>#REF!</v>
      </c>
      <c r="AX6" s="41" t="e">
        <f t="shared" si="20"/>
        <v>#REF!</v>
      </c>
      <c r="AY6" s="41" t="e">
        <f t="shared" si="20"/>
        <v>#REF!</v>
      </c>
      <c r="AZ6" s="41" t="e">
        <f t="shared" si="20"/>
        <v>#REF!</v>
      </c>
      <c r="BA6" s="41" t="e">
        <f t="shared" si="20"/>
        <v>#REF!</v>
      </c>
      <c r="BB6" s="41" t="e">
        <f t="shared" si="20"/>
        <v>#REF!</v>
      </c>
      <c r="BC6" s="41" t="e">
        <f t="shared" si="20"/>
        <v>#REF!</v>
      </c>
      <c r="BD6" s="41" t="e">
        <f t="shared" si="20"/>
        <v>#REF!</v>
      </c>
      <c r="BE6" s="41" t="e">
        <f t="shared" si="20"/>
        <v>#REF!</v>
      </c>
      <c r="BF6" s="41" t="e">
        <f t="shared" si="20"/>
        <v>#REF!</v>
      </c>
      <c r="BG6" s="41" t="e">
        <f t="shared" si="20"/>
        <v>#REF!</v>
      </c>
      <c r="BH6" s="41" t="e">
        <f t="shared" si="20"/>
        <v>#REF!</v>
      </c>
      <c r="BI6" s="41" t="e">
        <f t="shared" si="20"/>
        <v>#REF!</v>
      </c>
      <c r="BJ6" s="41" t="e">
        <f t="shared" si="20"/>
        <v>#REF!</v>
      </c>
      <c r="BK6" s="41" t="e">
        <f t="shared" si="20"/>
        <v>#REF!</v>
      </c>
      <c r="BL6" s="41" t="e">
        <f t="shared" si="20"/>
        <v>#REF!</v>
      </c>
      <c r="BM6" s="41" t="e">
        <f t="shared" si="20"/>
        <v>#REF!</v>
      </c>
      <c r="BN6" s="41" t="e">
        <f t="shared" si="20"/>
        <v>#REF!</v>
      </c>
      <c r="BO6" s="41" t="e">
        <f t="shared" si="20"/>
        <v>#REF!</v>
      </c>
      <c r="BP6" s="41" t="e">
        <f t="shared" si="20"/>
        <v>#REF!</v>
      </c>
      <c r="BQ6" s="121" t="e">
        <f t="shared" si="20"/>
        <v>#REF!</v>
      </c>
      <c r="BR6" s="37" t="e">
        <f>+#REF!</f>
        <v>#REF!</v>
      </c>
      <c r="BS6" s="36"/>
      <c r="BT6" s="41" t="e">
        <f t="shared" ref="BT6:CO6" si="21">+BT76</f>
        <v>#REF!</v>
      </c>
      <c r="BU6" s="41" t="e">
        <f t="shared" si="21"/>
        <v>#REF!</v>
      </c>
      <c r="BV6" s="41" t="e">
        <f t="shared" si="21"/>
        <v>#REF!</v>
      </c>
      <c r="BW6" s="41" t="e">
        <f t="shared" si="21"/>
        <v>#REF!</v>
      </c>
      <c r="BX6" s="41" t="e">
        <f t="shared" si="21"/>
        <v>#REF!</v>
      </c>
      <c r="BY6" s="41" t="e">
        <f t="shared" si="21"/>
        <v>#REF!</v>
      </c>
      <c r="BZ6" s="41" t="e">
        <f t="shared" si="21"/>
        <v>#REF!</v>
      </c>
      <c r="CA6" s="41" t="e">
        <f t="shared" si="21"/>
        <v>#REF!</v>
      </c>
      <c r="CB6" s="41" t="e">
        <f t="shared" si="21"/>
        <v>#REF!</v>
      </c>
      <c r="CC6" s="41" t="e">
        <f t="shared" si="21"/>
        <v>#REF!</v>
      </c>
      <c r="CD6" s="41" t="e">
        <f t="shared" si="21"/>
        <v>#REF!</v>
      </c>
      <c r="CE6" s="41" t="e">
        <f t="shared" si="21"/>
        <v>#REF!</v>
      </c>
      <c r="CF6" s="41" t="e">
        <f t="shared" si="21"/>
        <v>#REF!</v>
      </c>
      <c r="CG6" s="41" t="e">
        <f t="shared" si="21"/>
        <v>#REF!</v>
      </c>
      <c r="CH6" s="41" t="e">
        <f t="shared" si="21"/>
        <v>#REF!</v>
      </c>
      <c r="CI6" s="41" t="e">
        <f t="shared" si="21"/>
        <v>#REF!</v>
      </c>
      <c r="CJ6" s="41" t="e">
        <f t="shared" si="21"/>
        <v>#REF!</v>
      </c>
      <c r="CK6" s="41" t="e">
        <f t="shared" si="21"/>
        <v>#REF!</v>
      </c>
      <c r="CL6" s="41" t="e">
        <f t="shared" si="21"/>
        <v>#REF!</v>
      </c>
      <c r="CM6" s="41" t="e">
        <f t="shared" si="21"/>
        <v>#REF!</v>
      </c>
      <c r="CN6" s="41" t="e">
        <f t="shared" si="21"/>
        <v>#REF!</v>
      </c>
      <c r="CO6" s="121" t="e">
        <f t="shared" si="21"/>
        <v>#REF!</v>
      </c>
      <c r="CP6" s="37" t="e">
        <f>+#REF!</f>
        <v>#REF!</v>
      </c>
      <c r="CQ6" s="36"/>
      <c r="CR6" s="41" t="e">
        <f t="shared" ref="CR6:DL6" si="22">+CR76</f>
        <v>#REF!</v>
      </c>
      <c r="CS6" s="41" t="e">
        <f t="shared" si="22"/>
        <v>#REF!</v>
      </c>
      <c r="CT6" s="41" t="e">
        <f t="shared" si="22"/>
        <v>#REF!</v>
      </c>
      <c r="CU6" s="41" t="e">
        <f t="shared" si="22"/>
        <v>#REF!</v>
      </c>
      <c r="CV6" s="41" t="e">
        <f t="shared" si="22"/>
        <v>#REF!</v>
      </c>
      <c r="CW6" s="41" t="e">
        <f t="shared" si="22"/>
        <v>#REF!</v>
      </c>
      <c r="CX6" s="41" t="e">
        <f t="shared" si="22"/>
        <v>#REF!</v>
      </c>
      <c r="CY6" s="41" t="e">
        <f t="shared" si="22"/>
        <v>#REF!</v>
      </c>
      <c r="CZ6" s="41" t="e">
        <f t="shared" si="22"/>
        <v>#REF!</v>
      </c>
      <c r="DA6" s="41" t="e">
        <f t="shared" si="22"/>
        <v>#REF!</v>
      </c>
      <c r="DB6" s="41" t="e">
        <f t="shared" si="22"/>
        <v>#REF!</v>
      </c>
      <c r="DC6" s="41" t="e">
        <f t="shared" si="22"/>
        <v>#REF!</v>
      </c>
      <c r="DD6" s="41" t="e">
        <f t="shared" si="22"/>
        <v>#REF!</v>
      </c>
      <c r="DE6" s="41" t="e">
        <f t="shared" si="22"/>
        <v>#REF!</v>
      </c>
      <c r="DF6" s="41" t="e">
        <f t="shared" si="22"/>
        <v>#REF!</v>
      </c>
      <c r="DG6" s="41" t="e">
        <f t="shared" si="22"/>
        <v>#REF!</v>
      </c>
      <c r="DH6" s="41" t="e">
        <f t="shared" si="22"/>
        <v>#REF!</v>
      </c>
      <c r="DI6" s="41" t="e">
        <f t="shared" si="22"/>
        <v>#REF!</v>
      </c>
      <c r="DJ6" s="41" t="e">
        <f t="shared" si="22"/>
        <v>#REF!</v>
      </c>
      <c r="DK6" s="41" t="e">
        <f t="shared" si="22"/>
        <v>#REF!</v>
      </c>
      <c r="DL6" s="121" t="e">
        <f t="shared" si="22"/>
        <v>#REF!</v>
      </c>
      <c r="DM6" s="37" t="e">
        <f>+#REF!</f>
        <v>#REF!</v>
      </c>
      <c r="DN6" s="36"/>
      <c r="DO6" s="41" t="e">
        <f t="shared" ref="DO6:EJ6" si="23">+DO76</f>
        <v>#REF!</v>
      </c>
      <c r="DP6" s="41" t="e">
        <f t="shared" si="23"/>
        <v>#REF!</v>
      </c>
      <c r="DQ6" s="41" t="e">
        <f t="shared" si="23"/>
        <v>#REF!</v>
      </c>
      <c r="DR6" s="41" t="e">
        <f t="shared" si="23"/>
        <v>#REF!</v>
      </c>
      <c r="DS6" s="41" t="e">
        <f t="shared" si="23"/>
        <v>#REF!</v>
      </c>
      <c r="DT6" s="41" t="e">
        <f t="shared" si="23"/>
        <v>#REF!</v>
      </c>
      <c r="DU6" s="41" t="e">
        <f t="shared" si="23"/>
        <v>#REF!</v>
      </c>
      <c r="DV6" s="41" t="e">
        <f t="shared" si="23"/>
        <v>#REF!</v>
      </c>
      <c r="DW6" s="41" t="e">
        <f t="shared" si="23"/>
        <v>#REF!</v>
      </c>
      <c r="DX6" s="41" t="e">
        <f t="shared" si="23"/>
        <v>#REF!</v>
      </c>
      <c r="DY6" s="41" t="e">
        <f t="shared" si="23"/>
        <v>#REF!</v>
      </c>
      <c r="DZ6" s="41" t="e">
        <f t="shared" si="23"/>
        <v>#REF!</v>
      </c>
      <c r="EA6" s="41" t="e">
        <f t="shared" si="23"/>
        <v>#REF!</v>
      </c>
      <c r="EB6" s="41" t="e">
        <f t="shared" si="23"/>
        <v>#REF!</v>
      </c>
      <c r="EC6" s="41" t="e">
        <f t="shared" si="23"/>
        <v>#REF!</v>
      </c>
      <c r="ED6" s="41" t="e">
        <f t="shared" si="23"/>
        <v>#REF!</v>
      </c>
      <c r="EE6" s="41" t="e">
        <f t="shared" si="23"/>
        <v>#REF!</v>
      </c>
      <c r="EF6" s="41" t="e">
        <f t="shared" si="23"/>
        <v>#REF!</v>
      </c>
      <c r="EG6" s="41" t="e">
        <f t="shared" si="23"/>
        <v>#REF!</v>
      </c>
      <c r="EH6" s="41" t="e">
        <f t="shared" si="23"/>
        <v>#REF!</v>
      </c>
      <c r="EI6" s="41" t="e">
        <f t="shared" si="23"/>
        <v>#REF!</v>
      </c>
      <c r="EJ6" s="121" t="e">
        <f t="shared" si="23"/>
        <v>#REF!</v>
      </c>
      <c r="EK6" s="37" t="e">
        <f>+#REF!</f>
        <v>#REF!</v>
      </c>
      <c r="EL6" s="36"/>
      <c r="EN6" s="21"/>
    </row>
    <row r="7" spans="1:144" s="13" customFormat="1" ht="25" customHeight="1" thickBot="1">
      <c r="A7" s="87"/>
      <c r="B7" s="11"/>
      <c r="C7" s="141"/>
      <c r="D7" s="123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Z7" s="48"/>
      <c r="AA7" s="123"/>
      <c r="AB7" s="123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123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123"/>
      <c r="BS7" s="123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123"/>
      <c r="CQ7" s="123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123"/>
      <c r="DN7" s="123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123"/>
      <c r="EL7" s="123"/>
      <c r="EN7" s="21"/>
    </row>
    <row r="8" spans="1:144" s="13" customFormat="1" ht="25" customHeight="1">
      <c r="A8" s="87"/>
      <c r="B8" s="11"/>
      <c r="C8" s="140" t="s">
        <v>57</v>
      </c>
      <c r="D8" s="138">
        <v>0</v>
      </c>
      <c r="E8" s="137">
        <f>224998.5+500017.75</f>
        <v>725016.25</v>
      </c>
      <c r="F8" s="137">
        <f>137557.84+0.41</f>
        <v>137558.25</v>
      </c>
      <c r="G8" s="137">
        <f>302698.12+0.83</f>
        <v>302698.95</v>
      </c>
      <c r="H8" s="137">
        <f>313746.49+1.3</f>
        <v>313747.78999999998</v>
      </c>
      <c r="I8" s="137">
        <f>186282.52+4600001.98</f>
        <v>4786284.5</v>
      </c>
      <c r="J8" s="137">
        <f>212910.01+3800227.26</f>
        <v>4013137.2699999996</v>
      </c>
      <c r="K8" s="137">
        <f>159217.61+0.33</f>
        <v>159217.93999999997</v>
      </c>
      <c r="L8" s="137">
        <f>353459.63+0.86</f>
        <v>353460.49</v>
      </c>
      <c r="M8" s="137">
        <f>251121.89+1.54</f>
        <v>251123.43000000002</v>
      </c>
      <c r="N8" s="137">
        <f>348920.01+2.3</f>
        <v>348922.31</v>
      </c>
      <c r="O8" s="137">
        <f>194576.33+3.99</f>
        <v>194580.31999999998</v>
      </c>
      <c r="P8" s="137">
        <f>863606.12+5.01</f>
        <v>863611.13</v>
      </c>
      <c r="Q8" s="137">
        <f>345867.48+6.43</f>
        <v>345873.91</v>
      </c>
      <c r="R8" s="137">
        <f>287039.02+7.78</f>
        <v>287046.80000000005</v>
      </c>
      <c r="S8" s="137">
        <f>329069.55+9.11</f>
        <v>329078.65999999997</v>
      </c>
      <c r="T8" s="137">
        <f>145612.07+3.06</f>
        <v>145615.13</v>
      </c>
      <c r="U8" s="137">
        <f>1018165.49+5.08</f>
        <v>1018170.57</v>
      </c>
      <c r="V8" s="137">
        <f>204386.19+7.03</f>
        <v>204393.22</v>
      </c>
      <c r="W8" s="137">
        <f>388529.72+9.08</f>
        <v>388538.8</v>
      </c>
      <c r="X8" s="137">
        <f>141635.99+11.57</f>
        <v>141647.56</v>
      </c>
      <c r="Z8" s="139">
        <f>2309781.97+15.84</f>
        <v>2309797.81</v>
      </c>
      <c r="AA8" s="138">
        <v>0</v>
      </c>
      <c r="AB8" s="135"/>
      <c r="AC8" s="137">
        <v>366288.2</v>
      </c>
      <c r="AD8" s="137">
        <v>369328.02</v>
      </c>
      <c r="AE8" s="137">
        <v>381843.23</v>
      </c>
      <c r="AF8" s="137">
        <v>240761.97999999998</v>
      </c>
      <c r="AG8" s="137">
        <v>97362.3</v>
      </c>
      <c r="AH8" s="137">
        <v>391926.07999999996</v>
      </c>
      <c r="AI8" s="137">
        <v>155500.99</v>
      </c>
      <c r="AJ8" s="137">
        <v>27392.37</v>
      </c>
      <c r="AK8" s="137">
        <v>53742.97</v>
      </c>
      <c r="AL8" s="137">
        <v>199888.93000000002</v>
      </c>
      <c r="AM8" s="137">
        <f>372573.85+8.33</f>
        <v>372582.18</v>
      </c>
      <c r="AN8" s="137">
        <f>281525.25+9.87</f>
        <v>281535.12</v>
      </c>
      <c r="AO8" s="137">
        <f>660861.45+12.87</f>
        <v>660874.31999999995</v>
      </c>
      <c r="AP8" s="137">
        <f>193398.06+14.84</f>
        <v>193412.9</v>
      </c>
      <c r="AQ8" s="137">
        <f>219505.41+2.38</f>
        <v>219507.79</v>
      </c>
      <c r="AR8" s="137">
        <f>21009.32+4.54</f>
        <v>21013.86</v>
      </c>
      <c r="AS8" s="137">
        <f>43260.76+6.82</f>
        <v>43267.58</v>
      </c>
      <c r="AT8" s="137">
        <f>1357512.35+11.56</f>
        <v>1357523.9100000001</v>
      </c>
      <c r="AU8" s="138"/>
      <c r="AV8" s="137">
        <v>0</v>
      </c>
      <c r="AW8" s="137">
        <v>0</v>
      </c>
      <c r="AX8" s="137">
        <v>0</v>
      </c>
      <c r="AY8" s="137">
        <v>0</v>
      </c>
      <c r="AZ8" s="137">
        <v>0</v>
      </c>
      <c r="BA8" s="137">
        <v>0</v>
      </c>
      <c r="BB8" s="137">
        <v>0</v>
      </c>
      <c r="BC8" s="137">
        <v>0</v>
      </c>
      <c r="BD8" s="137">
        <v>0</v>
      </c>
      <c r="BE8" s="137">
        <v>0</v>
      </c>
      <c r="BF8" s="137">
        <v>0</v>
      </c>
      <c r="BG8" s="137">
        <v>0</v>
      </c>
      <c r="BH8" s="137">
        <v>0</v>
      </c>
      <c r="BI8" s="137">
        <v>0</v>
      </c>
      <c r="BJ8" s="137">
        <v>0</v>
      </c>
      <c r="BK8" s="137">
        <v>0</v>
      </c>
      <c r="BL8" s="137">
        <v>0</v>
      </c>
      <c r="BM8" s="137">
        <v>0</v>
      </c>
      <c r="BN8" s="137">
        <v>0</v>
      </c>
      <c r="BO8" s="137">
        <v>0</v>
      </c>
      <c r="BP8" s="137">
        <v>0</v>
      </c>
      <c r="BQ8" s="137">
        <v>0</v>
      </c>
      <c r="BR8" s="136">
        <v>0</v>
      </c>
      <c r="BS8" s="135"/>
      <c r="BT8" s="137">
        <v>0</v>
      </c>
      <c r="BU8" s="137">
        <v>0</v>
      </c>
      <c r="BV8" s="137">
        <v>0</v>
      </c>
      <c r="BW8" s="137">
        <v>0</v>
      </c>
      <c r="BX8" s="137">
        <v>0</v>
      </c>
      <c r="BY8" s="137">
        <v>0</v>
      </c>
      <c r="BZ8" s="137">
        <v>0</v>
      </c>
      <c r="CA8" s="137">
        <v>0</v>
      </c>
      <c r="CB8" s="137">
        <v>0</v>
      </c>
      <c r="CC8" s="137">
        <v>0</v>
      </c>
      <c r="CD8" s="137">
        <v>0</v>
      </c>
      <c r="CE8" s="137">
        <v>0</v>
      </c>
      <c r="CF8" s="137">
        <v>0</v>
      </c>
      <c r="CG8" s="137">
        <v>0</v>
      </c>
      <c r="CH8" s="137">
        <v>0</v>
      </c>
      <c r="CI8" s="137">
        <v>0</v>
      </c>
      <c r="CJ8" s="137">
        <v>0</v>
      </c>
      <c r="CK8" s="137">
        <v>0</v>
      </c>
      <c r="CL8" s="137">
        <v>0</v>
      </c>
      <c r="CM8" s="137">
        <v>0</v>
      </c>
      <c r="CN8" s="137">
        <v>0</v>
      </c>
      <c r="CO8" s="137">
        <v>0</v>
      </c>
      <c r="CP8" s="136">
        <v>0</v>
      </c>
      <c r="CQ8" s="135"/>
      <c r="CR8" s="137">
        <v>0</v>
      </c>
      <c r="CS8" s="137">
        <v>0</v>
      </c>
      <c r="CT8" s="137">
        <v>0</v>
      </c>
      <c r="CU8" s="137">
        <v>0</v>
      </c>
      <c r="CV8" s="137">
        <v>0</v>
      </c>
      <c r="CW8" s="137">
        <v>0</v>
      </c>
      <c r="CX8" s="137">
        <v>0</v>
      </c>
      <c r="CY8" s="137">
        <v>0</v>
      </c>
      <c r="CZ8" s="137">
        <v>0</v>
      </c>
      <c r="DA8" s="137">
        <v>0</v>
      </c>
      <c r="DB8" s="137">
        <v>0</v>
      </c>
      <c r="DC8" s="137">
        <v>0</v>
      </c>
      <c r="DD8" s="137">
        <v>0</v>
      </c>
      <c r="DE8" s="137">
        <v>0</v>
      </c>
      <c r="DF8" s="137">
        <v>0</v>
      </c>
      <c r="DG8" s="137">
        <v>0</v>
      </c>
      <c r="DH8" s="137">
        <v>0</v>
      </c>
      <c r="DI8" s="137">
        <v>0</v>
      </c>
      <c r="DJ8" s="137">
        <v>0</v>
      </c>
      <c r="DK8" s="137">
        <v>0</v>
      </c>
      <c r="DL8" s="137">
        <v>0</v>
      </c>
      <c r="DM8" s="136">
        <v>0</v>
      </c>
      <c r="DN8" s="135"/>
      <c r="DO8" s="137">
        <v>0</v>
      </c>
      <c r="DP8" s="137">
        <v>0</v>
      </c>
      <c r="DQ8" s="137">
        <v>0</v>
      </c>
      <c r="DR8" s="137">
        <v>0</v>
      </c>
      <c r="DS8" s="137">
        <v>0</v>
      </c>
      <c r="DT8" s="137">
        <v>0</v>
      </c>
      <c r="DU8" s="137">
        <v>0</v>
      </c>
      <c r="DV8" s="137">
        <v>0</v>
      </c>
      <c r="DW8" s="137">
        <v>0</v>
      </c>
      <c r="DX8" s="137">
        <v>0</v>
      </c>
      <c r="DY8" s="137">
        <v>0</v>
      </c>
      <c r="DZ8" s="137">
        <v>0</v>
      </c>
      <c r="EA8" s="137">
        <v>0</v>
      </c>
      <c r="EB8" s="137">
        <v>0</v>
      </c>
      <c r="EC8" s="137">
        <v>0</v>
      </c>
      <c r="ED8" s="137">
        <v>0</v>
      </c>
      <c r="EE8" s="137">
        <v>0</v>
      </c>
      <c r="EF8" s="137">
        <v>0</v>
      </c>
      <c r="EG8" s="137">
        <v>0</v>
      </c>
      <c r="EH8" s="137">
        <v>0</v>
      </c>
      <c r="EI8" s="137">
        <v>0</v>
      </c>
      <c r="EJ8" s="137">
        <v>0</v>
      </c>
      <c r="EK8" s="136">
        <v>0</v>
      </c>
      <c r="EL8" s="135"/>
      <c r="EN8" s="21"/>
    </row>
    <row r="9" spans="1:144" s="13" customFormat="1" ht="25" customHeight="1">
      <c r="A9" s="87"/>
      <c r="B9" s="11"/>
      <c r="C9" s="134" t="s">
        <v>56</v>
      </c>
      <c r="D9" s="133">
        <v>0</v>
      </c>
      <c r="E9" s="48">
        <v>94881.33</v>
      </c>
      <c r="F9" s="48">
        <v>101930.98</v>
      </c>
      <c r="G9" s="48">
        <v>105884.38</v>
      </c>
      <c r="H9" s="48">
        <v>16295.38</v>
      </c>
      <c r="I9" s="48">
        <v>30634.68</v>
      </c>
      <c r="J9" s="48">
        <v>113519.43</v>
      </c>
      <c r="K9" s="48">
        <v>96917.55</v>
      </c>
      <c r="L9" s="48">
        <v>118763.66</v>
      </c>
      <c r="M9" s="48">
        <v>124091.16</v>
      </c>
      <c r="N9" s="48">
        <v>32508.97</v>
      </c>
      <c r="O9" s="48">
        <f>70125.07</f>
        <v>70125.070000000007</v>
      </c>
      <c r="P9" s="48">
        <v>84591.87</v>
      </c>
      <c r="Q9" s="48">
        <v>62984.98</v>
      </c>
      <c r="R9" s="48">
        <v>78396.13</v>
      </c>
      <c r="S9" s="48">
        <v>29848.93</v>
      </c>
      <c r="T9" s="48">
        <v>21643.7</v>
      </c>
      <c r="U9" s="48">
        <v>253878.07</v>
      </c>
      <c r="V9" s="48">
        <v>82071.320000000007</v>
      </c>
      <c r="W9" s="48">
        <f>174364.1</f>
        <v>174364.1</v>
      </c>
      <c r="X9" s="48">
        <v>81235</v>
      </c>
      <c r="Z9" s="122">
        <v>112501.35</v>
      </c>
      <c r="AA9" s="133">
        <v>0</v>
      </c>
      <c r="AB9" s="131"/>
      <c r="AC9" s="48">
        <v>327770.34999999998</v>
      </c>
      <c r="AD9" s="48">
        <v>39466.78</v>
      </c>
      <c r="AE9" s="48">
        <v>44425.38</v>
      </c>
      <c r="AF9" s="48">
        <v>71089.48</v>
      </c>
      <c r="AG9" s="48">
        <v>124358.68</v>
      </c>
      <c r="AH9" s="48">
        <v>18066.82</v>
      </c>
      <c r="AI9" s="48">
        <v>22967.22</v>
      </c>
      <c r="AJ9" s="48">
        <v>53572.84</v>
      </c>
      <c r="AK9" s="48">
        <v>102433.34</v>
      </c>
      <c r="AL9" s="48">
        <v>78423.94</v>
      </c>
      <c r="AM9" s="48">
        <v>135912.34</v>
      </c>
      <c r="AN9" s="48">
        <v>155726.54</v>
      </c>
      <c r="AO9" s="48">
        <v>37325.99</v>
      </c>
      <c r="AP9" s="48">
        <v>123483.09</v>
      </c>
      <c r="AQ9" s="48">
        <v>170171.09</v>
      </c>
      <c r="AR9" s="48">
        <v>293691.7</v>
      </c>
      <c r="AS9" s="48">
        <v>97646.66</v>
      </c>
      <c r="AT9" s="48">
        <f>122905.86</f>
        <v>122905.86</v>
      </c>
      <c r="AU9" s="133"/>
      <c r="AV9" s="48">
        <v>0</v>
      </c>
      <c r="AW9" s="48">
        <v>0</v>
      </c>
      <c r="AX9" s="48">
        <v>0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0</v>
      </c>
      <c r="BN9" s="48">
        <v>0</v>
      </c>
      <c r="BO9" s="48">
        <v>0</v>
      </c>
      <c r="BP9" s="48">
        <v>0</v>
      </c>
      <c r="BQ9" s="48">
        <v>0</v>
      </c>
      <c r="BR9" s="132">
        <v>0</v>
      </c>
      <c r="BS9" s="131"/>
      <c r="BT9" s="48">
        <v>0</v>
      </c>
      <c r="BU9" s="48">
        <v>0</v>
      </c>
      <c r="BV9" s="48">
        <v>0</v>
      </c>
      <c r="BW9" s="48">
        <v>0</v>
      </c>
      <c r="BX9" s="48">
        <v>0</v>
      </c>
      <c r="BY9" s="48">
        <v>0</v>
      </c>
      <c r="BZ9" s="48">
        <v>0</v>
      </c>
      <c r="CA9" s="48">
        <v>0</v>
      </c>
      <c r="CB9" s="48">
        <v>0</v>
      </c>
      <c r="CC9" s="48">
        <v>0</v>
      </c>
      <c r="CD9" s="48">
        <v>0</v>
      </c>
      <c r="CE9" s="48">
        <v>0</v>
      </c>
      <c r="CF9" s="48">
        <v>0</v>
      </c>
      <c r="CG9" s="48">
        <v>0</v>
      </c>
      <c r="CH9" s="48">
        <v>0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132">
        <v>0</v>
      </c>
      <c r="CQ9" s="131"/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0</v>
      </c>
      <c r="DA9" s="48">
        <v>0</v>
      </c>
      <c r="DB9" s="48">
        <v>0</v>
      </c>
      <c r="DC9" s="48">
        <v>0</v>
      </c>
      <c r="DD9" s="48">
        <v>0</v>
      </c>
      <c r="DE9" s="48">
        <v>0</v>
      </c>
      <c r="DF9" s="48">
        <v>0</v>
      </c>
      <c r="DG9" s="48">
        <v>0</v>
      </c>
      <c r="DH9" s="48">
        <v>0</v>
      </c>
      <c r="DI9" s="48">
        <v>0</v>
      </c>
      <c r="DJ9" s="48">
        <v>0</v>
      </c>
      <c r="DK9" s="48">
        <v>0</v>
      </c>
      <c r="DL9" s="48">
        <v>0</v>
      </c>
      <c r="DM9" s="132">
        <v>0</v>
      </c>
      <c r="DN9" s="131"/>
      <c r="DO9" s="48">
        <v>0</v>
      </c>
      <c r="DP9" s="48">
        <v>0</v>
      </c>
      <c r="DQ9" s="48">
        <v>0</v>
      </c>
      <c r="DR9" s="48">
        <v>0</v>
      </c>
      <c r="DS9" s="48">
        <v>0</v>
      </c>
      <c r="DT9" s="48">
        <v>0</v>
      </c>
      <c r="DU9" s="48">
        <v>0</v>
      </c>
      <c r="DV9" s="48">
        <v>0</v>
      </c>
      <c r="DW9" s="48">
        <v>0</v>
      </c>
      <c r="DX9" s="48">
        <v>0</v>
      </c>
      <c r="DY9" s="48">
        <v>0</v>
      </c>
      <c r="DZ9" s="48">
        <v>0</v>
      </c>
      <c r="EA9" s="48">
        <v>0</v>
      </c>
      <c r="EB9" s="48">
        <v>0</v>
      </c>
      <c r="EC9" s="48">
        <v>0</v>
      </c>
      <c r="ED9" s="48">
        <v>0</v>
      </c>
      <c r="EE9" s="48">
        <v>0</v>
      </c>
      <c r="EF9" s="48">
        <v>0</v>
      </c>
      <c r="EG9" s="48">
        <v>0</v>
      </c>
      <c r="EH9" s="48">
        <v>0</v>
      </c>
      <c r="EI9" s="48">
        <v>0</v>
      </c>
      <c r="EJ9" s="48">
        <v>0</v>
      </c>
      <c r="EK9" s="132">
        <v>0</v>
      </c>
      <c r="EL9" s="131"/>
      <c r="EN9" s="21"/>
    </row>
    <row r="10" spans="1:144" s="13" customFormat="1" ht="25" customHeight="1">
      <c r="A10" s="87"/>
      <c r="B10" s="11"/>
      <c r="C10" s="134" t="s">
        <v>55</v>
      </c>
      <c r="D10" s="133">
        <v>0</v>
      </c>
      <c r="E10" s="48">
        <v>3715035.01</v>
      </c>
      <c r="F10" s="48">
        <v>3199205.66</v>
      </c>
      <c r="G10" s="48">
        <v>4389555.8499999996</v>
      </c>
      <c r="H10" s="48">
        <v>4583945.7699999996</v>
      </c>
      <c r="I10" s="48">
        <f>3007375.02+12500000</f>
        <v>15507375.02</v>
      </c>
      <c r="J10" s="48">
        <f>2859840.18+20500177.91</f>
        <v>23360018.09</v>
      </c>
      <c r="K10" s="48">
        <f>3542701.26+28001494.59</f>
        <v>31544195.850000001</v>
      </c>
      <c r="L10" s="48">
        <f>3589741.63+31703060.32</f>
        <v>35292801.950000003</v>
      </c>
      <c r="M10" s="48">
        <f>3148529.95+35905222.67</f>
        <v>39053752.620000005</v>
      </c>
      <c r="N10" s="48">
        <f>2815213.3+27908537.04</f>
        <v>30723750.34</v>
      </c>
      <c r="O10" s="48">
        <f>2902787.13+32238.29</f>
        <v>2935025.42</v>
      </c>
      <c r="P10" s="48">
        <f>2384327.46+35001.17</f>
        <v>2419328.63</v>
      </c>
      <c r="Q10" s="48">
        <f>5267952.11+35001.17</f>
        <v>5302953.28</v>
      </c>
      <c r="R10" s="48">
        <f>4278942.29+35006.06</f>
        <v>4313948.3499999996</v>
      </c>
      <c r="S10" s="48">
        <f>4031956.66+35009.45</f>
        <v>4066966.1100000003</v>
      </c>
      <c r="T10" s="48">
        <f>2456369.56+35014.26</f>
        <v>2491383.8199999998</v>
      </c>
      <c r="U10" s="48">
        <f>6991752.83+35024.37</f>
        <v>7026777.2000000002</v>
      </c>
      <c r="V10" s="48">
        <f>5399744.31+11535031.07</f>
        <v>16934775.379999999</v>
      </c>
      <c r="W10" s="48">
        <f>5728067.25+21535200.88</f>
        <v>27263268.129999999</v>
      </c>
      <c r="X10" s="48">
        <f>4280251.36+29035748.56</f>
        <v>33315999.919999998</v>
      </c>
      <c r="Z10" s="122">
        <f>308463.46+22336872.12</f>
        <v>22645335.580000002</v>
      </c>
      <c r="AA10" s="133">
        <v>0</v>
      </c>
      <c r="AB10" s="131"/>
      <c r="AC10" s="48">
        <v>31059656.399999999</v>
      </c>
      <c r="AD10" s="48">
        <v>31742640.84</v>
      </c>
      <c r="AE10" s="48">
        <v>31304705.399999999</v>
      </c>
      <c r="AF10" s="48">
        <v>27889332.129999999</v>
      </c>
      <c r="AG10" s="48">
        <v>6568870.1799999997</v>
      </c>
      <c r="AH10" s="48">
        <v>4270212.16</v>
      </c>
      <c r="AI10" s="48">
        <v>30398447.850000001</v>
      </c>
      <c r="AJ10" s="48">
        <v>14604182.43</v>
      </c>
      <c r="AK10" s="48">
        <v>33556614.960000001</v>
      </c>
      <c r="AL10" s="48">
        <v>66002064.099999994</v>
      </c>
      <c r="AM10" s="48">
        <f>3993117.11+18901265.55</f>
        <v>22894382.66</v>
      </c>
      <c r="AN10" s="48">
        <f>5858050.57+14907711.23</f>
        <v>20765761.800000001</v>
      </c>
      <c r="AO10" s="48">
        <f>5488408.64+13909622.46</f>
        <v>19398031.100000001</v>
      </c>
      <c r="AP10" s="48">
        <f>6029291.59+35213422.95</f>
        <v>41242714.540000007</v>
      </c>
      <c r="AQ10" s="48">
        <f>6581830.09+8215784.81</f>
        <v>14797614.899999999</v>
      </c>
      <c r="AR10" s="48">
        <f>9134325.65+20016074.89</f>
        <v>29150400.539999999</v>
      </c>
      <c r="AS10" s="48">
        <f>5161439.8+40945956.15</f>
        <v>46107395.949999996</v>
      </c>
      <c r="AT10" s="48">
        <f>4587664.02+41347448.63</f>
        <v>45935112.650000006</v>
      </c>
      <c r="AU10" s="133"/>
      <c r="AV10" s="48">
        <v>0</v>
      </c>
      <c r="AW10" s="48">
        <v>0</v>
      </c>
      <c r="AX10" s="48">
        <v>0</v>
      </c>
      <c r="AY10" s="48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8">
        <v>0</v>
      </c>
      <c r="BK10" s="48">
        <v>0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132">
        <v>0</v>
      </c>
      <c r="BS10" s="131"/>
      <c r="BT10" s="48">
        <v>0</v>
      </c>
      <c r="BU10" s="48">
        <v>0</v>
      </c>
      <c r="BV10" s="48">
        <v>0</v>
      </c>
      <c r="BW10" s="48">
        <v>0</v>
      </c>
      <c r="BX10" s="48">
        <v>0</v>
      </c>
      <c r="BY10" s="48">
        <v>0</v>
      </c>
      <c r="BZ10" s="48">
        <v>0</v>
      </c>
      <c r="CA10" s="48">
        <v>0</v>
      </c>
      <c r="CB10" s="48">
        <v>0</v>
      </c>
      <c r="CC10" s="48">
        <v>0</v>
      </c>
      <c r="CD10" s="48">
        <v>0</v>
      </c>
      <c r="CE10" s="48">
        <v>0</v>
      </c>
      <c r="CF10" s="48">
        <v>0</v>
      </c>
      <c r="CG10" s="48">
        <v>0</v>
      </c>
      <c r="CH10" s="48">
        <v>0</v>
      </c>
      <c r="CI10" s="48">
        <v>0</v>
      </c>
      <c r="CJ10" s="48">
        <v>0</v>
      </c>
      <c r="CK10" s="48">
        <v>0</v>
      </c>
      <c r="CL10" s="48">
        <v>0</v>
      </c>
      <c r="CM10" s="48">
        <v>0</v>
      </c>
      <c r="CN10" s="48">
        <v>0</v>
      </c>
      <c r="CO10" s="48">
        <v>0</v>
      </c>
      <c r="CP10" s="132">
        <v>0</v>
      </c>
      <c r="CQ10" s="131"/>
      <c r="CR10" s="48">
        <v>0</v>
      </c>
      <c r="CS10" s="48">
        <v>0</v>
      </c>
      <c r="CT10" s="48">
        <v>0</v>
      </c>
      <c r="CU10" s="48">
        <v>0</v>
      </c>
      <c r="CV10" s="48">
        <v>0</v>
      </c>
      <c r="CW10" s="48">
        <v>0</v>
      </c>
      <c r="CX10" s="48">
        <v>0</v>
      </c>
      <c r="CY10" s="48">
        <v>0</v>
      </c>
      <c r="CZ10" s="48">
        <v>0</v>
      </c>
      <c r="DA10" s="48">
        <v>0</v>
      </c>
      <c r="DB10" s="48">
        <v>0</v>
      </c>
      <c r="DC10" s="48">
        <v>0</v>
      </c>
      <c r="DD10" s="48">
        <v>0</v>
      </c>
      <c r="DE10" s="48">
        <v>0</v>
      </c>
      <c r="DF10" s="48">
        <v>0</v>
      </c>
      <c r="DG10" s="48">
        <v>0</v>
      </c>
      <c r="DH10" s="48">
        <v>0</v>
      </c>
      <c r="DI10" s="48">
        <v>0</v>
      </c>
      <c r="DJ10" s="48">
        <v>0</v>
      </c>
      <c r="DK10" s="48">
        <v>0</v>
      </c>
      <c r="DL10" s="48">
        <v>0</v>
      </c>
      <c r="DM10" s="132">
        <v>0</v>
      </c>
      <c r="DN10" s="131"/>
      <c r="DO10" s="48">
        <v>0</v>
      </c>
      <c r="DP10" s="48">
        <v>0</v>
      </c>
      <c r="DQ10" s="48">
        <v>0</v>
      </c>
      <c r="DR10" s="48">
        <v>0</v>
      </c>
      <c r="DS10" s="48">
        <v>0</v>
      </c>
      <c r="DT10" s="48">
        <v>0</v>
      </c>
      <c r="DU10" s="48">
        <v>0</v>
      </c>
      <c r="DV10" s="48">
        <v>0</v>
      </c>
      <c r="DW10" s="48">
        <v>0</v>
      </c>
      <c r="DX10" s="48">
        <v>0</v>
      </c>
      <c r="DY10" s="48">
        <v>0</v>
      </c>
      <c r="DZ10" s="48">
        <v>0</v>
      </c>
      <c r="EA10" s="48">
        <v>0</v>
      </c>
      <c r="EB10" s="48">
        <v>0</v>
      </c>
      <c r="EC10" s="48">
        <v>0</v>
      </c>
      <c r="ED10" s="48">
        <v>0</v>
      </c>
      <c r="EE10" s="48">
        <v>0</v>
      </c>
      <c r="EF10" s="48">
        <v>0</v>
      </c>
      <c r="EG10" s="48">
        <v>0</v>
      </c>
      <c r="EH10" s="48">
        <v>0</v>
      </c>
      <c r="EI10" s="48">
        <v>0</v>
      </c>
      <c r="EJ10" s="48">
        <v>0</v>
      </c>
      <c r="EK10" s="132">
        <v>0</v>
      </c>
      <c r="EL10" s="131"/>
      <c r="EN10" s="21"/>
    </row>
    <row r="11" spans="1:144" s="13" customFormat="1" ht="25" customHeight="1">
      <c r="A11" s="87"/>
      <c r="B11" s="11"/>
      <c r="C11" s="134" t="s">
        <v>54</v>
      </c>
      <c r="D11" s="133">
        <v>0</v>
      </c>
      <c r="E11" s="48">
        <v>9002.1</v>
      </c>
      <c r="F11" s="48">
        <v>12561.67</v>
      </c>
      <c r="G11" s="48">
        <v>5877.93</v>
      </c>
      <c r="H11" s="48">
        <v>12498.09</v>
      </c>
      <c r="I11" s="48">
        <v>5687.97</v>
      </c>
      <c r="J11" s="48">
        <v>7685.74</v>
      </c>
      <c r="K11" s="48">
        <v>5840.07</v>
      </c>
      <c r="L11" s="48">
        <v>4325.97</v>
      </c>
      <c r="M11" s="48">
        <v>5596.82</v>
      </c>
      <c r="N11" s="48">
        <v>4282.18</v>
      </c>
      <c r="O11" s="48">
        <f>3994.5</f>
        <v>3994.5</v>
      </c>
      <c r="P11" s="48">
        <v>6348.05</v>
      </c>
      <c r="Q11" s="48">
        <v>56657.42</v>
      </c>
      <c r="R11" s="48">
        <v>33774.120000000003</v>
      </c>
      <c r="S11" s="48">
        <v>32573.759999999998</v>
      </c>
      <c r="T11" s="48">
        <v>189667.61</v>
      </c>
      <c r="U11" s="48">
        <v>59320.06</v>
      </c>
      <c r="V11" s="48">
        <v>17262.88</v>
      </c>
      <c r="W11" s="48">
        <v>83051.7</v>
      </c>
      <c r="X11" s="48">
        <v>278065.11</v>
      </c>
      <c r="Z11" s="122">
        <v>24776.9</v>
      </c>
      <c r="AA11" s="133">
        <v>0</v>
      </c>
      <c r="AB11" s="131"/>
      <c r="AC11" s="48">
        <v>22523.98</v>
      </c>
      <c r="AD11" s="48">
        <v>49921.49</v>
      </c>
      <c r="AE11" s="48">
        <v>262617.71999999997</v>
      </c>
      <c r="AF11" s="48">
        <v>74677.259999999995</v>
      </c>
      <c r="AG11" s="48">
        <v>47377.32</v>
      </c>
      <c r="AH11" s="48">
        <v>47092.21</v>
      </c>
      <c r="AI11" s="48">
        <v>25561.45</v>
      </c>
      <c r="AJ11" s="48">
        <v>9262.1</v>
      </c>
      <c r="AK11" s="48">
        <v>36065.86</v>
      </c>
      <c r="AL11" s="48">
        <v>64483.56</v>
      </c>
      <c r="AM11" s="48">
        <v>8739.16</v>
      </c>
      <c r="AN11" s="48">
        <v>4939.91</v>
      </c>
      <c r="AO11" s="48">
        <v>2151.4299999999998</v>
      </c>
      <c r="AP11" s="48">
        <v>13892.11</v>
      </c>
      <c r="AQ11" s="48">
        <v>4480.6000000000004</v>
      </c>
      <c r="AR11" s="48">
        <f>6087.51</f>
        <v>6087.51</v>
      </c>
      <c r="AS11" s="48">
        <v>122701.56</v>
      </c>
      <c r="AT11" s="48">
        <v>17550.009999999998</v>
      </c>
      <c r="AU11" s="133"/>
      <c r="AV11" s="48">
        <v>0</v>
      </c>
      <c r="AW11" s="48">
        <v>0</v>
      </c>
      <c r="AX11" s="48">
        <v>0</v>
      </c>
      <c r="AY11" s="48">
        <v>0</v>
      </c>
      <c r="AZ11" s="48">
        <v>0</v>
      </c>
      <c r="BA11" s="48">
        <v>0</v>
      </c>
      <c r="BB11" s="48">
        <v>0</v>
      </c>
      <c r="BC11" s="48">
        <v>0</v>
      </c>
      <c r="BD11" s="48">
        <v>0</v>
      </c>
      <c r="BE11" s="48">
        <v>0</v>
      </c>
      <c r="BF11" s="48">
        <v>0</v>
      </c>
      <c r="BG11" s="48">
        <v>0</v>
      </c>
      <c r="BH11" s="48">
        <v>0</v>
      </c>
      <c r="BI11" s="48">
        <v>0</v>
      </c>
      <c r="BJ11" s="48">
        <v>0</v>
      </c>
      <c r="BK11" s="48">
        <v>0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132">
        <v>0</v>
      </c>
      <c r="BS11" s="131"/>
      <c r="BT11" s="48">
        <v>0</v>
      </c>
      <c r="BU11" s="48">
        <v>0</v>
      </c>
      <c r="BV11" s="48">
        <v>0</v>
      </c>
      <c r="BW11" s="48">
        <v>0</v>
      </c>
      <c r="BX11" s="48">
        <v>0</v>
      </c>
      <c r="BY11" s="48">
        <v>0</v>
      </c>
      <c r="BZ11" s="48">
        <v>0</v>
      </c>
      <c r="CA11" s="48">
        <v>0</v>
      </c>
      <c r="CB11" s="48">
        <v>0</v>
      </c>
      <c r="CC11" s="48">
        <v>0</v>
      </c>
      <c r="CD11" s="48">
        <v>0</v>
      </c>
      <c r="CE11" s="48">
        <v>0</v>
      </c>
      <c r="CF11" s="48">
        <v>0</v>
      </c>
      <c r="CG11" s="48">
        <v>0</v>
      </c>
      <c r="CH11" s="48">
        <v>0</v>
      </c>
      <c r="CI11" s="48">
        <v>0</v>
      </c>
      <c r="CJ11" s="48">
        <v>0</v>
      </c>
      <c r="CK11" s="48">
        <v>0</v>
      </c>
      <c r="CL11" s="48">
        <v>0</v>
      </c>
      <c r="CM11" s="48">
        <v>0</v>
      </c>
      <c r="CN11" s="48">
        <v>0</v>
      </c>
      <c r="CO11" s="48">
        <v>0</v>
      </c>
      <c r="CP11" s="132">
        <v>0</v>
      </c>
      <c r="CQ11" s="131"/>
      <c r="CR11" s="48">
        <v>0</v>
      </c>
      <c r="CS11" s="48">
        <v>0</v>
      </c>
      <c r="CT11" s="48">
        <v>0</v>
      </c>
      <c r="CU11" s="48">
        <v>0</v>
      </c>
      <c r="CV11" s="48">
        <v>0</v>
      </c>
      <c r="CW11" s="48">
        <v>0</v>
      </c>
      <c r="CX11" s="48">
        <v>0</v>
      </c>
      <c r="CY11" s="48">
        <v>0</v>
      </c>
      <c r="CZ11" s="48">
        <v>0</v>
      </c>
      <c r="DA11" s="48">
        <v>0</v>
      </c>
      <c r="DB11" s="48">
        <v>0</v>
      </c>
      <c r="DC11" s="48">
        <v>0</v>
      </c>
      <c r="DD11" s="48">
        <v>0</v>
      </c>
      <c r="DE11" s="48">
        <v>0</v>
      </c>
      <c r="DF11" s="48">
        <v>0</v>
      </c>
      <c r="DG11" s="48">
        <v>0</v>
      </c>
      <c r="DH11" s="48">
        <v>0</v>
      </c>
      <c r="DI11" s="48">
        <v>0</v>
      </c>
      <c r="DJ11" s="48">
        <v>0</v>
      </c>
      <c r="DK11" s="48">
        <v>0</v>
      </c>
      <c r="DL11" s="48">
        <v>0</v>
      </c>
      <c r="DM11" s="132">
        <v>0</v>
      </c>
      <c r="DN11" s="131"/>
      <c r="DO11" s="48">
        <v>0</v>
      </c>
      <c r="DP11" s="48">
        <v>0</v>
      </c>
      <c r="DQ11" s="48">
        <v>0</v>
      </c>
      <c r="DR11" s="48">
        <v>0</v>
      </c>
      <c r="DS11" s="48">
        <v>0</v>
      </c>
      <c r="DT11" s="48">
        <v>0</v>
      </c>
      <c r="DU11" s="48">
        <v>0</v>
      </c>
      <c r="DV11" s="48">
        <v>0</v>
      </c>
      <c r="DW11" s="48">
        <v>0</v>
      </c>
      <c r="DX11" s="48">
        <v>0</v>
      </c>
      <c r="DY11" s="48">
        <v>0</v>
      </c>
      <c r="DZ11" s="48">
        <v>0</v>
      </c>
      <c r="EA11" s="48">
        <v>0</v>
      </c>
      <c r="EB11" s="48">
        <v>0</v>
      </c>
      <c r="EC11" s="48">
        <v>0</v>
      </c>
      <c r="ED11" s="48">
        <v>0</v>
      </c>
      <c r="EE11" s="48">
        <v>0</v>
      </c>
      <c r="EF11" s="48">
        <v>0</v>
      </c>
      <c r="EG11" s="48">
        <v>0</v>
      </c>
      <c r="EH11" s="48">
        <v>0</v>
      </c>
      <c r="EI11" s="48">
        <v>0</v>
      </c>
      <c r="EJ11" s="48">
        <v>0</v>
      </c>
      <c r="EK11" s="132">
        <v>0</v>
      </c>
      <c r="EL11" s="131"/>
      <c r="EN11" s="21"/>
    </row>
    <row r="12" spans="1:144" s="13" customFormat="1" ht="25" customHeight="1" thickBot="1">
      <c r="A12" s="87"/>
      <c r="B12" s="11"/>
      <c r="C12" s="130" t="s">
        <v>53</v>
      </c>
      <c r="D12" s="129">
        <v>0</v>
      </c>
      <c r="E12" s="41">
        <v>33640.83</v>
      </c>
      <c r="F12" s="41">
        <v>6564.59</v>
      </c>
      <c r="G12" s="41">
        <v>4812.92</v>
      </c>
      <c r="H12" s="41">
        <v>8468.68</v>
      </c>
      <c r="I12" s="41">
        <v>2150.02</v>
      </c>
      <c r="J12" s="41">
        <v>41106.03</v>
      </c>
      <c r="K12" s="41">
        <v>5310.86</v>
      </c>
      <c r="L12" s="41">
        <v>27180.7</v>
      </c>
      <c r="M12" s="41">
        <v>51082.04</v>
      </c>
      <c r="N12" s="41">
        <v>52186.91</v>
      </c>
      <c r="O12" s="41">
        <v>5121.51</v>
      </c>
      <c r="P12" s="41">
        <f>2756.1</f>
        <v>2756.1</v>
      </c>
      <c r="Q12" s="41">
        <v>20959.45</v>
      </c>
      <c r="R12" s="41">
        <v>5110.24</v>
      </c>
      <c r="S12" s="41">
        <v>10835.56</v>
      </c>
      <c r="T12" s="41">
        <v>22824.99</v>
      </c>
      <c r="U12" s="41">
        <v>6250.79</v>
      </c>
      <c r="V12" s="41">
        <v>21007.98</v>
      </c>
      <c r="W12" s="41">
        <v>26436</v>
      </c>
      <c r="X12" s="41">
        <v>6924.2</v>
      </c>
      <c r="Z12" s="121">
        <v>3887.98</v>
      </c>
      <c r="AA12" s="129">
        <v>0</v>
      </c>
      <c r="AB12" s="127"/>
      <c r="AC12" s="41">
        <v>24608.34</v>
      </c>
      <c r="AD12" s="41">
        <v>13501.22</v>
      </c>
      <c r="AE12" s="41">
        <v>7634.21</v>
      </c>
      <c r="AF12" s="41">
        <v>8769.3700000000008</v>
      </c>
      <c r="AG12" s="41">
        <v>2740.12</v>
      </c>
      <c r="AH12" s="41">
        <v>2629.99</v>
      </c>
      <c r="AI12" s="41">
        <v>4183.2299999999996</v>
      </c>
      <c r="AJ12" s="41">
        <v>4798.5200000000004</v>
      </c>
      <c r="AK12" s="41">
        <v>9657.08</v>
      </c>
      <c r="AL12" s="41">
        <v>10289.61</v>
      </c>
      <c r="AM12" s="41">
        <v>44749.55</v>
      </c>
      <c r="AN12" s="41">
        <v>4425.0200000000004</v>
      </c>
      <c r="AO12" s="41">
        <v>3192.56</v>
      </c>
      <c r="AP12" s="41">
        <v>31404.51</v>
      </c>
      <c r="AQ12" s="41">
        <v>4679.1400000000003</v>
      </c>
      <c r="AR12" s="41">
        <v>4891.1000000000004</v>
      </c>
      <c r="AS12" s="41">
        <v>7667.91</v>
      </c>
      <c r="AT12" s="41">
        <v>6867.24</v>
      </c>
      <c r="AU12" s="129"/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128">
        <v>0</v>
      </c>
      <c r="BS12" s="127"/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  <c r="BZ12" s="41">
        <v>0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128">
        <v>0</v>
      </c>
      <c r="CQ12" s="127"/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128">
        <v>0</v>
      </c>
      <c r="DN12" s="127"/>
      <c r="DO12" s="41">
        <v>0</v>
      </c>
      <c r="DP12" s="41">
        <v>0</v>
      </c>
      <c r="DQ12" s="41">
        <v>0</v>
      </c>
      <c r="DR12" s="41">
        <v>0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0</v>
      </c>
      <c r="DY12" s="41">
        <v>0</v>
      </c>
      <c r="DZ12" s="41">
        <v>0</v>
      </c>
      <c r="EA12" s="41">
        <v>0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128">
        <v>0</v>
      </c>
      <c r="EL12" s="127"/>
      <c r="EN12" s="21"/>
    </row>
    <row r="13" spans="1:144" s="13" customFormat="1" ht="25" customHeight="1" thickBot="1">
      <c r="A13" s="87"/>
      <c r="B13" s="11"/>
      <c r="C13" s="126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5"/>
      <c r="S13" s="124"/>
      <c r="T13" s="124"/>
      <c r="U13" s="124"/>
      <c r="V13" s="124"/>
      <c r="W13" s="124"/>
      <c r="X13" s="124"/>
      <c r="Z13" s="124"/>
      <c r="AA13" s="123"/>
      <c r="AB13" s="123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3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3"/>
      <c r="BS13" s="123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3"/>
      <c r="CQ13" s="123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3"/>
      <c r="DN13" s="123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3"/>
      <c r="EL13" s="123"/>
      <c r="EN13" s="21"/>
    </row>
    <row r="14" spans="1:144" s="65" customFormat="1" ht="25" customHeight="1">
      <c r="A14" s="81"/>
      <c r="B14" s="11"/>
      <c r="C14" s="72" t="s">
        <v>52</v>
      </c>
      <c r="D14" s="71">
        <v>67414.800000002142</v>
      </c>
      <c r="E14" s="70">
        <f t="shared" ref="E14:X14" si="24">+D14-E15-E18+E65+E16-E17</f>
        <v>114984.90000000213</v>
      </c>
      <c r="F14" s="70">
        <f t="shared" si="24"/>
        <v>151333.77000000211</v>
      </c>
      <c r="G14" s="70">
        <f t="shared" si="24"/>
        <v>917077.5000000021</v>
      </c>
      <c r="H14" s="70">
        <f t="shared" si="24"/>
        <v>970326.69000000216</v>
      </c>
      <c r="I14" s="70">
        <f t="shared" si="24"/>
        <v>1036786.5800000022</v>
      </c>
      <c r="J14" s="70">
        <f t="shared" si="24"/>
        <v>1316318.5000000021</v>
      </c>
      <c r="K14" s="70">
        <f t="shared" si="24"/>
        <v>40188.340000002099</v>
      </c>
      <c r="L14" s="70">
        <f t="shared" si="24"/>
        <v>75253.740000002101</v>
      </c>
      <c r="M14" s="70">
        <f t="shared" si="24"/>
        <v>110624.97000000211</v>
      </c>
      <c r="N14" s="70">
        <f t="shared" si="24"/>
        <v>186092.24000000209</v>
      </c>
      <c r="O14" s="70">
        <f t="shared" si="24"/>
        <v>18665.210000002058</v>
      </c>
      <c r="P14" s="70">
        <f t="shared" si="24"/>
        <v>35398.700000002056</v>
      </c>
      <c r="Q14" s="70">
        <f t="shared" si="24"/>
        <v>51546.890000002059</v>
      </c>
      <c r="R14" s="70">
        <f t="shared" si="24"/>
        <v>81857.840000002063</v>
      </c>
      <c r="S14" s="70">
        <f t="shared" si="24"/>
        <v>108988.02000000206</v>
      </c>
      <c r="T14" s="70">
        <f t="shared" si="24"/>
        <v>19340.22000000206</v>
      </c>
      <c r="U14" s="70">
        <f t="shared" si="24"/>
        <v>698641.36000000208</v>
      </c>
      <c r="V14" s="70">
        <f t="shared" si="24"/>
        <v>40408.310000002086</v>
      </c>
      <c r="W14" s="70">
        <f t="shared" si="24"/>
        <v>72420.460000002087</v>
      </c>
      <c r="X14" s="70">
        <f t="shared" si="24"/>
        <v>102081.66000000208</v>
      </c>
      <c r="Z14" s="69">
        <f>+X14-Z15-Z18+Z65+Z16-Z17</f>
        <v>169141.46000000209</v>
      </c>
      <c r="AA14" s="71">
        <f>+D14-AA15-AA18+AA65+AA16-AA17</f>
        <v>169141.460000002</v>
      </c>
      <c r="AB14" s="67"/>
      <c r="AC14" s="70">
        <v>200472.05000000208</v>
      </c>
      <c r="AD14" s="70">
        <v>232920.17000000211</v>
      </c>
      <c r="AE14" s="70">
        <v>264909.04000000207</v>
      </c>
      <c r="AF14" s="70">
        <v>296561.23000000208</v>
      </c>
      <c r="AG14" s="70">
        <v>204284.54000000205</v>
      </c>
      <c r="AH14" s="70">
        <v>229668.88000000207</v>
      </c>
      <c r="AI14" s="70">
        <v>260743.78000000207</v>
      </c>
      <c r="AJ14" s="70">
        <v>44068.040000002045</v>
      </c>
      <c r="AK14" s="70">
        <v>63479.180000002045</v>
      </c>
      <c r="AL14" s="70">
        <v>942669.26000000199</v>
      </c>
      <c r="AM14" s="70">
        <f t="shared" ref="AM14:AP14" si="25">+AL14-AM15-AM18+AM65+AM16-AM17</f>
        <v>428106.98000000202</v>
      </c>
      <c r="AN14" s="70">
        <f t="shared" si="25"/>
        <v>43735.660000002019</v>
      </c>
      <c r="AO14" s="70">
        <f t="shared" si="25"/>
        <v>79381.750000002008</v>
      </c>
      <c r="AP14" s="70">
        <f t="shared" si="25"/>
        <v>114660.48000000202</v>
      </c>
      <c r="AQ14" s="70">
        <f>+AP14-AQ15-AQ18+AQ65+AQ16-AQ17</f>
        <v>693373.83000000205</v>
      </c>
      <c r="AR14" s="70">
        <f>+AQ14-AR15-AR18+AR65+AR16-AR17</f>
        <v>719729.47000000207</v>
      </c>
      <c r="AS14" s="70">
        <f>+AR14-AS15-AS18+AS65+AS16-AS17</f>
        <v>753309.84000000206</v>
      </c>
      <c r="AT14" s="70">
        <f>+AS14-AT15-AT18+AT65+AT16-AT17</f>
        <v>1336836.2500000019</v>
      </c>
      <c r="AU14" s="71">
        <f>+AA14-AU15-AU18+AU65+AU16-AU17</f>
        <v>1336836.2500000021</v>
      </c>
      <c r="AV14" s="70" t="e">
        <f>+#REF!-AV15-AV18+AV65+AV16-AV17</f>
        <v>#REF!</v>
      </c>
      <c r="AW14" s="70" t="e">
        <f t="shared" ref="AW14:BQ14" si="26">+AV14-AW15-AW18+AW65+AW16-AW17</f>
        <v>#REF!</v>
      </c>
      <c r="AX14" s="70" t="e">
        <f t="shared" si="26"/>
        <v>#REF!</v>
      </c>
      <c r="AY14" s="70" t="e">
        <f t="shared" si="26"/>
        <v>#REF!</v>
      </c>
      <c r="AZ14" s="70" t="e">
        <f t="shared" si="26"/>
        <v>#REF!</v>
      </c>
      <c r="BA14" s="70" t="e">
        <f t="shared" si="26"/>
        <v>#REF!</v>
      </c>
      <c r="BB14" s="70" t="e">
        <f t="shared" si="26"/>
        <v>#REF!</v>
      </c>
      <c r="BC14" s="70" t="e">
        <f t="shared" si="26"/>
        <v>#REF!</v>
      </c>
      <c r="BD14" s="70" t="e">
        <f t="shared" si="26"/>
        <v>#REF!</v>
      </c>
      <c r="BE14" s="70" t="e">
        <f t="shared" si="26"/>
        <v>#REF!</v>
      </c>
      <c r="BF14" s="70" t="e">
        <f t="shared" si="26"/>
        <v>#REF!</v>
      </c>
      <c r="BG14" s="70" t="e">
        <f t="shared" si="26"/>
        <v>#REF!</v>
      </c>
      <c r="BH14" s="70" t="e">
        <f t="shared" si="26"/>
        <v>#REF!</v>
      </c>
      <c r="BI14" s="70" t="e">
        <f t="shared" si="26"/>
        <v>#REF!</v>
      </c>
      <c r="BJ14" s="70" t="e">
        <f t="shared" si="26"/>
        <v>#REF!</v>
      </c>
      <c r="BK14" s="70" t="e">
        <f t="shared" si="26"/>
        <v>#REF!</v>
      </c>
      <c r="BL14" s="70" t="e">
        <f t="shared" si="26"/>
        <v>#REF!</v>
      </c>
      <c r="BM14" s="70" t="e">
        <f t="shared" si="26"/>
        <v>#REF!</v>
      </c>
      <c r="BN14" s="70" t="e">
        <f t="shared" si="26"/>
        <v>#REF!</v>
      </c>
      <c r="BO14" s="70" t="e">
        <f t="shared" si="26"/>
        <v>#REF!</v>
      </c>
      <c r="BP14" s="70" t="e">
        <f t="shared" si="26"/>
        <v>#REF!</v>
      </c>
      <c r="BQ14" s="69" t="e">
        <f t="shared" si="26"/>
        <v>#REF!</v>
      </c>
      <c r="BR14" s="68" t="e">
        <f>+#REF!-BR15-BR18+BR65+BR16-BR17</f>
        <v>#REF!</v>
      </c>
      <c r="BS14" s="67"/>
      <c r="BT14" s="70" t="e">
        <f>+BQ14-BT15-BT18+BT65+BT16-BT17</f>
        <v>#REF!</v>
      </c>
      <c r="BU14" s="70" t="e">
        <f t="shared" ref="BU14:CO14" si="27">+BT14-BU15-BU18+BU65+BU16-BU17</f>
        <v>#REF!</v>
      </c>
      <c r="BV14" s="70" t="e">
        <f t="shared" si="27"/>
        <v>#REF!</v>
      </c>
      <c r="BW14" s="70" t="e">
        <f t="shared" si="27"/>
        <v>#REF!</v>
      </c>
      <c r="BX14" s="70" t="e">
        <f t="shared" si="27"/>
        <v>#REF!</v>
      </c>
      <c r="BY14" s="70" t="e">
        <f t="shared" si="27"/>
        <v>#REF!</v>
      </c>
      <c r="BZ14" s="70" t="e">
        <f t="shared" si="27"/>
        <v>#REF!</v>
      </c>
      <c r="CA14" s="70" t="e">
        <f t="shared" si="27"/>
        <v>#REF!</v>
      </c>
      <c r="CB14" s="70" t="e">
        <f t="shared" si="27"/>
        <v>#REF!</v>
      </c>
      <c r="CC14" s="70" t="e">
        <f t="shared" si="27"/>
        <v>#REF!</v>
      </c>
      <c r="CD14" s="70" t="e">
        <f t="shared" si="27"/>
        <v>#REF!</v>
      </c>
      <c r="CE14" s="70" t="e">
        <f t="shared" si="27"/>
        <v>#REF!</v>
      </c>
      <c r="CF14" s="70" t="e">
        <f t="shared" si="27"/>
        <v>#REF!</v>
      </c>
      <c r="CG14" s="70" t="e">
        <f t="shared" si="27"/>
        <v>#REF!</v>
      </c>
      <c r="CH14" s="70" t="e">
        <f t="shared" si="27"/>
        <v>#REF!</v>
      </c>
      <c r="CI14" s="70" t="e">
        <f t="shared" si="27"/>
        <v>#REF!</v>
      </c>
      <c r="CJ14" s="70" t="e">
        <f t="shared" si="27"/>
        <v>#REF!</v>
      </c>
      <c r="CK14" s="70" t="e">
        <f t="shared" si="27"/>
        <v>#REF!</v>
      </c>
      <c r="CL14" s="70" t="e">
        <f t="shared" si="27"/>
        <v>#REF!</v>
      </c>
      <c r="CM14" s="70" t="e">
        <f t="shared" si="27"/>
        <v>#REF!</v>
      </c>
      <c r="CN14" s="70" t="e">
        <f t="shared" si="27"/>
        <v>#REF!</v>
      </c>
      <c r="CO14" s="69" t="e">
        <f t="shared" si="27"/>
        <v>#REF!</v>
      </c>
      <c r="CP14" s="68">
        <f>+J14-CP15-CP18+CP65+CP16-CP17</f>
        <v>169141.46000000235</v>
      </c>
      <c r="CQ14" s="67"/>
      <c r="CR14" s="70" t="e">
        <f>+CO14-CR15-CR18+CR65+CR16-CR17</f>
        <v>#REF!</v>
      </c>
      <c r="CS14" s="70" t="e">
        <f t="shared" ref="CS14:DL14" si="28">+CR14-CS15-CS18+CS65+CS16-CS17</f>
        <v>#REF!</v>
      </c>
      <c r="CT14" s="70" t="e">
        <f t="shared" si="28"/>
        <v>#REF!</v>
      </c>
      <c r="CU14" s="70" t="e">
        <f t="shared" si="28"/>
        <v>#REF!</v>
      </c>
      <c r="CV14" s="70" t="e">
        <f t="shared" si="28"/>
        <v>#REF!</v>
      </c>
      <c r="CW14" s="70" t="e">
        <f t="shared" si="28"/>
        <v>#REF!</v>
      </c>
      <c r="CX14" s="70" t="e">
        <f t="shared" si="28"/>
        <v>#REF!</v>
      </c>
      <c r="CY14" s="70" t="e">
        <f t="shared" si="28"/>
        <v>#REF!</v>
      </c>
      <c r="CZ14" s="70" t="e">
        <f t="shared" si="28"/>
        <v>#REF!</v>
      </c>
      <c r="DA14" s="70" t="e">
        <f t="shared" si="28"/>
        <v>#REF!</v>
      </c>
      <c r="DB14" s="70" t="e">
        <f t="shared" si="28"/>
        <v>#REF!</v>
      </c>
      <c r="DC14" s="70" t="e">
        <f t="shared" si="28"/>
        <v>#REF!</v>
      </c>
      <c r="DD14" s="70" t="e">
        <f t="shared" si="28"/>
        <v>#REF!</v>
      </c>
      <c r="DE14" s="70" t="e">
        <f t="shared" si="28"/>
        <v>#REF!</v>
      </c>
      <c r="DF14" s="70" t="e">
        <f t="shared" si="28"/>
        <v>#REF!</v>
      </c>
      <c r="DG14" s="70" t="e">
        <f t="shared" si="28"/>
        <v>#REF!</v>
      </c>
      <c r="DH14" s="70" t="e">
        <f t="shared" si="28"/>
        <v>#REF!</v>
      </c>
      <c r="DI14" s="70" t="e">
        <f t="shared" si="28"/>
        <v>#REF!</v>
      </c>
      <c r="DJ14" s="70" t="e">
        <f t="shared" si="28"/>
        <v>#REF!</v>
      </c>
      <c r="DK14" s="70" t="e">
        <f t="shared" si="28"/>
        <v>#REF!</v>
      </c>
      <c r="DL14" s="69" t="e">
        <f t="shared" si="28"/>
        <v>#REF!</v>
      </c>
      <c r="DM14" s="68">
        <f>+L14-DM15-DM18+DM65+DM16-DM17</f>
        <v>169141.46000000212</v>
      </c>
      <c r="DN14" s="67"/>
      <c r="DO14" s="70" t="e">
        <f>+DL14-DO15-DO18+DO65+DO16-DO17</f>
        <v>#REF!</v>
      </c>
      <c r="DP14" s="70" t="e">
        <f t="shared" ref="DP14:EJ14" si="29">+DO14-DP15-DP18+DP65+DP16-DP17</f>
        <v>#REF!</v>
      </c>
      <c r="DQ14" s="70" t="e">
        <f t="shared" si="29"/>
        <v>#REF!</v>
      </c>
      <c r="DR14" s="70" t="e">
        <f t="shared" si="29"/>
        <v>#REF!</v>
      </c>
      <c r="DS14" s="70" t="e">
        <f t="shared" si="29"/>
        <v>#REF!</v>
      </c>
      <c r="DT14" s="70" t="e">
        <f t="shared" si="29"/>
        <v>#REF!</v>
      </c>
      <c r="DU14" s="70" t="e">
        <f t="shared" si="29"/>
        <v>#REF!</v>
      </c>
      <c r="DV14" s="70" t="e">
        <f t="shared" si="29"/>
        <v>#REF!</v>
      </c>
      <c r="DW14" s="70" t="e">
        <f t="shared" si="29"/>
        <v>#REF!</v>
      </c>
      <c r="DX14" s="70" t="e">
        <f t="shared" si="29"/>
        <v>#REF!</v>
      </c>
      <c r="DY14" s="70" t="e">
        <f t="shared" si="29"/>
        <v>#REF!</v>
      </c>
      <c r="DZ14" s="70" t="e">
        <f t="shared" si="29"/>
        <v>#REF!</v>
      </c>
      <c r="EA14" s="70" t="e">
        <f t="shared" si="29"/>
        <v>#REF!</v>
      </c>
      <c r="EB14" s="70" t="e">
        <f t="shared" si="29"/>
        <v>#REF!</v>
      </c>
      <c r="EC14" s="70" t="e">
        <f t="shared" si="29"/>
        <v>#REF!</v>
      </c>
      <c r="ED14" s="70" t="e">
        <f t="shared" si="29"/>
        <v>#REF!</v>
      </c>
      <c r="EE14" s="70" t="e">
        <f t="shared" si="29"/>
        <v>#REF!</v>
      </c>
      <c r="EF14" s="70" t="e">
        <f t="shared" si="29"/>
        <v>#REF!</v>
      </c>
      <c r="EG14" s="70" t="e">
        <f t="shared" si="29"/>
        <v>#REF!</v>
      </c>
      <c r="EH14" s="70" t="e">
        <f t="shared" si="29"/>
        <v>#REF!</v>
      </c>
      <c r="EI14" s="70" t="e">
        <f t="shared" si="29"/>
        <v>#REF!</v>
      </c>
      <c r="EJ14" s="69" t="e">
        <f t="shared" si="29"/>
        <v>#REF!</v>
      </c>
      <c r="EK14" s="68">
        <f>+N14-EK15-EK18+EK65+EK16-EK17</f>
        <v>169141.46000000223</v>
      </c>
      <c r="EL14" s="67"/>
      <c r="EN14" s="66"/>
    </row>
    <row r="15" spans="1:144" s="13" customFormat="1" ht="25" customHeight="1">
      <c r="A15" s="87"/>
      <c r="B15" s="11"/>
      <c r="C15" s="49" t="s">
        <v>51</v>
      </c>
      <c r="D15" s="47"/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1310000</v>
      </c>
      <c r="L15" s="48">
        <v>0</v>
      </c>
      <c r="M15" s="48">
        <v>0</v>
      </c>
      <c r="N15" s="48">
        <v>0</v>
      </c>
      <c r="O15" s="48">
        <v>450000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690000</v>
      </c>
      <c r="W15" s="48">
        <v>0</v>
      </c>
      <c r="X15" s="48">
        <v>0</v>
      </c>
      <c r="Z15" s="122">
        <v>0</v>
      </c>
      <c r="AA15" s="47">
        <f>SUM(E15:$Z$15)-Y15</f>
        <v>2450000</v>
      </c>
      <c r="AB15" s="43"/>
      <c r="AC15" s="48">
        <v>0</v>
      </c>
      <c r="AD15" s="48">
        <v>0</v>
      </c>
      <c r="AE15" s="48">
        <v>0</v>
      </c>
      <c r="AF15" s="48">
        <v>0</v>
      </c>
      <c r="AG15" s="48">
        <v>710000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550000</v>
      </c>
      <c r="AN15" s="48">
        <v>420000</v>
      </c>
      <c r="AO15" s="48">
        <v>0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7">
        <f>SUM(AC15:$AT$15)</f>
        <v>1680000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122">
        <v>0</v>
      </c>
      <c r="BR15" s="44" t="e">
        <f>SUM(#REF!)</f>
        <v>#REF!</v>
      </c>
      <c r="BS15" s="43"/>
      <c r="BT15" s="48">
        <v>0</v>
      </c>
      <c r="BU15" s="48">
        <v>0</v>
      </c>
      <c r="BV15" s="48">
        <v>0</v>
      </c>
      <c r="BW15" s="48">
        <v>0</v>
      </c>
      <c r="BX15" s="48">
        <v>0</v>
      </c>
      <c r="BY15" s="48">
        <v>0</v>
      </c>
      <c r="BZ15" s="48">
        <v>0</v>
      </c>
      <c r="CA15" s="48">
        <v>0</v>
      </c>
      <c r="CB15" s="48">
        <v>0</v>
      </c>
      <c r="CC15" s="48">
        <v>0</v>
      </c>
      <c r="CD15" s="48">
        <v>0</v>
      </c>
      <c r="CE15" s="48">
        <v>0</v>
      </c>
      <c r="CF15" s="48">
        <v>0</v>
      </c>
      <c r="CG15" s="48">
        <v>0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122">
        <v>0</v>
      </c>
      <c r="CP15" s="44">
        <f>SUM(K15:$Z$15)</f>
        <v>2450000</v>
      </c>
      <c r="CQ15" s="43"/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0</v>
      </c>
      <c r="DA15" s="48">
        <v>0</v>
      </c>
      <c r="DB15" s="48">
        <v>0</v>
      </c>
      <c r="DC15" s="48">
        <v>0</v>
      </c>
      <c r="DD15" s="48">
        <v>0</v>
      </c>
      <c r="DE15" s="48">
        <v>0</v>
      </c>
      <c r="DF15" s="48">
        <v>0</v>
      </c>
      <c r="DG15" s="48">
        <v>0</v>
      </c>
      <c r="DH15" s="48">
        <v>0</v>
      </c>
      <c r="DI15" s="48">
        <v>0</v>
      </c>
      <c r="DJ15" s="48">
        <v>0</v>
      </c>
      <c r="DK15" s="48">
        <v>0</v>
      </c>
      <c r="DL15" s="122">
        <v>0</v>
      </c>
      <c r="DM15" s="44">
        <f>SUM(M15:$Z$15)</f>
        <v>1140000</v>
      </c>
      <c r="DN15" s="43"/>
      <c r="DO15" s="48">
        <v>0</v>
      </c>
      <c r="DP15" s="48">
        <v>0</v>
      </c>
      <c r="DQ15" s="48">
        <v>0</v>
      </c>
      <c r="DR15" s="48">
        <v>0</v>
      </c>
      <c r="DS15" s="48">
        <v>0</v>
      </c>
      <c r="DT15" s="48">
        <v>0</v>
      </c>
      <c r="DU15" s="48">
        <v>0</v>
      </c>
      <c r="DV15" s="48">
        <v>0</v>
      </c>
      <c r="DW15" s="48">
        <v>0</v>
      </c>
      <c r="DX15" s="48">
        <v>0</v>
      </c>
      <c r="DY15" s="48">
        <v>0</v>
      </c>
      <c r="DZ15" s="48">
        <v>0</v>
      </c>
      <c r="EA15" s="48">
        <v>0</v>
      </c>
      <c r="EB15" s="48">
        <v>0</v>
      </c>
      <c r="EC15" s="48">
        <v>0</v>
      </c>
      <c r="ED15" s="48">
        <v>0</v>
      </c>
      <c r="EE15" s="48">
        <v>0</v>
      </c>
      <c r="EF15" s="48">
        <v>0</v>
      </c>
      <c r="EG15" s="48">
        <v>0</v>
      </c>
      <c r="EH15" s="48">
        <v>0</v>
      </c>
      <c r="EI15" s="48">
        <v>0</v>
      </c>
      <c r="EJ15" s="122">
        <v>0</v>
      </c>
      <c r="EK15" s="44">
        <f>SUM(O15:$Z$15)</f>
        <v>1140000</v>
      </c>
      <c r="EL15" s="43"/>
      <c r="EN15" s="21"/>
    </row>
    <row r="16" spans="1:144" s="13" customFormat="1" ht="25" customHeight="1">
      <c r="A16" s="87"/>
      <c r="B16" s="11"/>
      <c r="C16" s="49" t="s">
        <v>50</v>
      </c>
      <c r="D16" s="47"/>
      <c r="E16" s="48">
        <v>1154.79</v>
      </c>
      <c r="F16" s="48">
        <v>976.27</v>
      </c>
      <c r="G16" s="48">
        <v>1088.1199999999999</v>
      </c>
      <c r="H16" s="48">
        <v>966.29</v>
      </c>
      <c r="I16" s="48">
        <v>1008</v>
      </c>
      <c r="J16" s="48">
        <v>1490.64</v>
      </c>
      <c r="K16" s="48">
        <v>1033.54</v>
      </c>
      <c r="L16" s="48">
        <v>842.69</v>
      </c>
      <c r="M16" s="48">
        <v>805.08</v>
      </c>
      <c r="N16" s="48">
        <v>919.24</v>
      </c>
      <c r="O16" s="48">
        <v>1425.5</v>
      </c>
      <c r="P16" s="48">
        <v>818.36</v>
      </c>
      <c r="Q16" s="48">
        <v>992.93</v>
      </c>
      <c r="R16" s="48">
        <v>997.8</v>
      </c>
      <c r="S16" s="48">
        <v>955.75</v>
      </c>
      <c r="T16" s="48">
        <f>1731.3+1</f>
        <v>1732.3</v>
      </c>
      <c r="U16" s="48">
        <v>1141.33</v>
      </c>
      <c r="V16" s="48">
        <v>1251.6600000000001</v>
      </c>
      <c r="W16" s="48">
        <v>1127.57</v>
      </c>
      <c r="X16" s="48">
        <v>203.8</v>
      </c>
      <c r="Z16" s="122">
        <v>2690.32</v>
      </c>
      <c r="AA16" s="47">
        <f>SUM(E16:$Z$16)-Y16</f>
        <v>23621.979999999996</v>
      </c>
      <c r="AB16" s="43"/>
      <c r="AC16" s="48">
        <v>1197.08</v>
      </c>
      <c r="AD16" s="48">
        <v>1430.14</v>
      </c>
      <c r="AE16" s="48">
        <v>1300.04</v>
      </c>
      <c r="AF16" s="48">
        <v>1136.77</v>
      </c>
      <c r="AG16" s="48">
        <v>1359.85</v>
      </c>
      <c r="AH16" s="48">
        <v>1000.89</v>
      </c>
      <c r="AI16" s="48">
        <v>973.41</v>
      </c>
      <c r="AJ16" s="48">
        <v>899.07</v>
      </c>
      <c r="AK16" s="48">
        <v>1263.42</v>
      </c>
      <c r="AL16" s="48">
        <v>1312.58</v>
      </c>
      <c r="AM16" s="48">
        <v>1184.33</v>
      </c>
      <c r="AN16" s="48">
        <v>946.83</v>
      </c>
      <c r="AO16" s="48">
        <v>961.37</v>
      </c>
      <c r="AP16" s="48">
        <f>946.6+2</f>
        <v>948.6</v>
      </c>
      <c r="AQ16" s="48">
        <v>1014.12</v>
      </c>
      <c r="AR16" s="48">
        <f>974.64+9.65</f>
        <v>984.29</v>
      </c>
      <c r="AS16" s="48">
        <f>998.5+24.42</f>
        <v>1022.92</v>
      </c>
      <c r="AT16" s="48">
        <f>42.68+1424.03</f>
        <v>1466.71</v>
      </c>
      <c r="AU16" s="47">
        <f>SUM(AC16:$AT$16)</f>
        <v>20402.420000000002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122">
        <v>0</v>
      </c>
      <c r="BR16" s="44" t="e">
        <f>SUM(#REF!)</f>
        <v>#REF!</v>
      </c>
      <c r="BS16" s="43"/>
      <c r="BT16" s="48">
        <v>0</v>
      </c>
      <c r="BU16" s="48">
        <v>0</v>
      </c>
      <c r="BV16" s="48">
        <v>0</v>
      </c>
      <c r="BW16" s="48">
        <v>0</v>
      </c>
      <c r="BX16" s="48">
        <v>0</v>
      </c>
      <c r="BY16" s="48">
        <v>0</v>
      </c>
      <c r="BZ16" s="48">
        <v>0</v>
      </c>
      <c r="CA16" s="48">
        <v>0</v>
      </c>
      <c r="CB16" s="48">
        <v>0</v>
      </c>
      <c r="CC16" s="48">
        <v>0</v>
      </c>
      <c r="CD16" s="48">
        <v>0</v>
      </c>
      <c r="CE16" s="48">
        <v>0</v>
      </c>
      <c r="CF16" s="48">
        <v>0</v>
      </c>
      <c r="CG16" s="48">
        <v>0</v>
      </c>
      <c r="CH16" s="48">
        <v>0</v>
      </c>
      <c r="CI16" s="48">
        <v>0</v>
      </c>
      <c r="CJ16" s="48">
        <v>0</v>
      </c>
      <c r="CK16" s="48">
        <v>0</v>
      </c>
      <c r="CL16" s="48">
        <v>0</v>
      </c>
      <c r="CM16" s="48">
        <v>0</v>
      </c>
      <c r="CN16" s="48">
        <v>0</v>
      </c>
      <c r="CO16" s="122">
        <v>0</v>
      </c>
      <c r="CP16" s="44">
        <f>SUM(K16:$Z$16)</f>
        <v>16937.87</v>
      </c>
      <c r="CQ16" s="43"/>
      <c r="CR16" s="48">
        <v>0</v>
      </c>
      <c r="CS16" s="48">
        <v>0</v>
      </c>
      <c r="CT16" s="48">
        <v>0</v>
      </c>
      <c r="CU16" s="48">
        <v>0</v>
      </c>
      <c r="CV16" s="48">
        <v>0</v>
      </c>
      <c r="CW16" s="48">
        <v>0</v>
      </c>
      <c r="CX16" s="48">
        <v>0</v>
      </c>
      <c r="CY16" s="48">
        <v>0</v>
      </c>
      <c r="CZ16" s="48">
        <v>0</v>
      </c>
      <c r="DA16" s="48">
        <v>0</v>
      </c>
      <c r="DB16" s="48">
        <v>0</v>
      </c>
      <c r="DC16" s="48">
        <v>0</v>
      </c>
      <c r="DD16" s="48">
        <v>0</v>
      </c>
      <c r="DE16" s="48">
        <v>0</v>
      </c>
      <c r="DF16" s="48">
        <v>0</v>
      </c>
      <c r="DG16" s="48">
        <v>0</v>
      </c>
      <c r="DH16" s="48">
        <v>0</v>
      </c>
      <c r="DI16" s="48">
        <v>0</v>
      </c>
      <c r="DJ16" s="48">
        <v>0</v>
      </c>
      <c r="DK16" s="48">
        <v>0</v>
      </c>
      <c r="DL16" s="122">
        <v>0</v>
      </c>
      <c r="DM16" s="44">
        <f>SUM(M16:$Z$16)</f>
        <v>15061.64</v>
      </c>
      <c r="DN16" s="43"/>
      <c r="DO16" s="48">
        <v>0</v>
      </c>
      <c r="DP16" s="48">
        <v>0</v>
      </c>
      <c r="DQ16" s="48">
        <v>0</v>
      </c>
      <c r="DR16" s="48">
        <v>0</v>
      </c>
      <c r="DS16" s="48">
        <v>0</v>
      </c>
      <c r="DT16" s="48">
        <v>0</v>
      </c>
      <c r="DU16" s="48">
        <v>0</v>
      </c>
      <c r="DV16" s="48">
        <v>0</v>
      </c>
      <c r="DW16" s="48">
        <v>0</v>
      </c>
      <c r="DX16" s="48">
        <v>0</v>
      </c>
      <c r="DY16" s="48">
        <v>0</v>
      </c>
      <c r="DZ16" s="48">
        <v>0</v>
      </c>
      <c r="EA16" s="48">
        <v>0</v>
      </c>
      <c r="EB16" s="48">
        <v>0</v>
      </c>
      <c r="EC16" s="48">
        <v>0</v>
      </c>
      <c r="ED16" s="48">
        <v>0</v>
      </c>
      <c r="EE16" s="48">
        <v>0</v>
      </c>
      <c r="EF16" s="48">
        <v>0</v>
      </c>
      <c r="EG16" s="48">
        <v>0</v>
      </c>
      <c r="EH16" s="48">
        <v>0</v>
      </c>
      <c r="EI16" s="48">
        <v>0</v>
      </c>
      <c r="EJ16" s="122">
        <v>0</v>
      </c>
      <c r="EK16" s="44">
        <f>SUM(O16:$Z$16)</f>
        <v>13337.32</v>
      </c>
      <c r="EL16" s="43"/>
      <c r="EN16" s="21"/>
    </row>
    <row r="17" spans="1:144" s="13" customFormat="1" ht="25" customHeight="1">
      <c r="A17" s="87"/>
      <c r="B17" s="11"/>
      <c r="C17" s="49" t="s">
        <v>49</v>
      </c>
      <c r="D17" s="47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84555.18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Z17" s="122">
        <v>0</v>
      </c>
      <c r="AA17" s="47">
        <f>SUM(E17:$Z$17)-Y17</f>
        <v>84555.18</v>
      </c>
      <c r="AB17" s="43"/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0</v>
      </c>
      <c r="AU17" s="47">
        <f>SUM(AC17:$AT$17)</f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  <c r="BL17" s="48">
        <v>0</v>
      </c>
      <c r="BM17" s="48">
        <v>0</v>
      </c>
      <c r="BN17" s="48">
        <v>0</v>
      </c>
      <c r="BO17" s="48">
        <v>0</v>
      </c>
      <c r="BP17" s="48">
        <v>0</v>
      </c>
      <c r="BQ17" s="122">
        <v>0</v>
      </c>
      <c r="BR17" s="44" t="e">
        <f>SUM(#REF!)</f>
        <v>#REF!</v>
      </c>
      <c r="BS17" s="43"/>
      <c r="BT17" s="48">
        <v>0</v>
      </c>
      <c r="BU17" s="48">
        <v>0</v>
      </c>
      <c r="BV17" s="48">
        <v>0</v>
      </c>
      <c r="BW17" s="48">
        <v>0</v>
      </c>
      <c r="BX17" s="48">
        <v>0</v>
      </c>
      <c r="BY17" s="48">
        <v>0</v>
      </c>
      <c r="BZ17" s="48">
        <v>0</v>
      </c>
      <c r="CA17" s="48">
        <v>0</v>
      </c>
      <c r="CB17" s="48">
        <v>0</v>
      </c>
      <c r="CC17" s="48">
        <v>0</v>
      </c>
      <c r="CD17" s="48">
        <v>0</v>
      </c>
      <c r="CE17" s="48">
        <v>0</v>
      </c>
      <c r="CF17" s="48">
        <v>0</v>
      </c>
      <c r="CG17" s="48">
        <v>0</v>
      </c>
      <c r="CH17" s="48">
        <v>0</v>
      </c>
      <c r="CI17" s="48">
        <v>0</v>
      </c>
      <c r="CJ17" s="48">
        <v>0</v>
      </c>
      <c r="CK17" s="48">
        <v>0</v>
      </c>
      <c r="CL17" s="48">
        <v>0</v>
      </c>
      <c r="CM17" s="48">
        <v>0</v>
      </c>
      <c r="CN17" s="48">
        <v>0</v>
      </c>
      <c r="CO17" s="122">
        <v>0</v>
      </c>
      <c r="CP17" s="44">
        <f>SUM(K17:$Z$17)</f>
        <v>84555.18</v>
      </c>
      <c r="CQ17" s="43"/>
      <c r="CR17" s="48">
        <v>0</v>
      </c>
      <c r="CS17" s="48">
        <v>0</v>
      </c>
      <c r="CT17" s="48">
        <v>0</v>
      </c>
      <c r="CU17" s="48">
        <v>0</v>
      </c>
      <c r="CV17" s="48">
        <v>0</v>
      </c>
      <c r="CW17" s="48">
        <v>0</v>
      </c>
      <c r="CX17" s="48">
        <v>0</v>
      </c>
      <c r="CY17" s="48">
        <v>0</v>
      </c>
      <c r="CZ17" s="48">
        <v>0</v>
      </c>
      <c r="DA17" s="48">
        <v>0</v>
      </c>
      <c r="DB17" s="48">
        <v>0</v>
      </c>
      <c r="DC17" s="48">
        <v>0</v>
      </c>
      <c r="DD17" s="48">
        <v>0</v>
      </c>
      <c r="DE17" s="48">
        <v>0</v>
      </c>
      <c r="DF17" s="48">
        <v>0</v>
      </c>
      <c r="DG17" s="48">
        <v>0</v>
      </c>
      <c r="DH17" s="48">
        <v>0</v>
      </c>
      <c r="DI17" s="48">
        <v>0</v>
      </c>
      <c r="DJ17" s="48">
        <v>0</v>
      </c>
      <c r="DK17" s="48">
        <v>0</v>
      </c>
      <c r="DL17" s="122">
        <v>0</v>
      </c>
      <c r="DM17" s="44">
        <f>SUM(M17:$Z$17)</f>
        <v>84555.18</v>
      </c>
      <c r="DN17" s="43"/>
      <c r="DO17" s="48">
        <v>0</v>
      </c>
      <c r="DP17" s="48">
        <v>0</v>
      </c>
      <c r="DQ17" s="48">
        <v>0</v>
      </c>
      <c r="DR17" s="48">
        <v>0</v>
      </c>
      <c r="DS17" s="48">
        <v>0</v>
      </c>
      <c r="DT17" s="48">
        <v>0</v>
      </c>
      <c r="DU17" s="48">
        <v>0</v>
      </c>
      <c r="DV17" s="48">
        <v>0</v>
      </c>
      <c r="DW17" s="48">
        <v>0</v>
      </c>
      <c r="DX17" s="48">
        <v>0</v>
      </c>
      <c r="DY17" s="48">
        <v>0</v>
      </c>
      <c r="DZ17" s="48">
        <v>0</v>
      </c>
      <c r="EA17" s="48">
        <v>0</v>
      </c>
      <c r="EB17" s="48">
        <v>0</v>
      </c>
      <c r="EC17" s="48">
        <v>0</v>
      </c>
      <c r="ED17" s="48">
        <v>0</v>
      </c>
      <c r="EE17" s="48">
        <v>0</v>
      </c>
      <c r="EF17" s="48">
        <v>0</v>
      </c>
      <c r="EG17" s="48">
        <v>0</v>
      </c>
      <c r="EH17" s="48">
        <v>0</v>
      </c>
      <c r="EI17" s="48">
        <v>0</v>
      </c>
      <c r="EJ17" s="122">
        <v>0</v>
      </c>
      <c r="EK17" s="44">
        <f>SUM(O17:$Z$17)</f>
        <v>0</v>
      </c>
      <c r="EL17" s="43"/>
      <c r="EN17" s="21"/>
    </row>
    <row r="18" spans="1:144" s="13" customFormat="1" ht="25" customHeight="1" thickBot="1">
      <c r="A18" s="87"/>
      <c r="B18" s="11"/>
      <c r="C18" s="42" t="s">
        <v>48</v>
      </c>
      <c r="D18" s="40"/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f>58741.71+50247.22</f>
        <v>108988.93</v>
      </c>
      <c r="U18" s="41">
        <v>0</v>
      </c>
      <c r="V18" s="41">
        <v>0</v>
      </c>
      <c r="W18" s="41">
        <v>0</v>
      </c>
      <c r="X18" s="41">
        <v>0</v>
      </c>
      <c r="Z18" s="121">
        <v>0</v>
      </c>
      <c r="AA18" s="40">
        <f>SUM(E18:$Z$18)-Y18</f>
        <v>108988.93</v>
      </c>
      <c r="AB18" s="36"/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260743.83000000002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0">
        <f>SUM(AC18:$AT$18)</f>
        <v>260743.83000000002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121">
        <v>0</v>
      </c>
      <c r="BR18" s="37" t="e">
        <f>SUM(#REF!)</f>
        <v>#REF!</v>
      </c>
      <c r="BS18" s="36"/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121">
        <v>0</v>
      </c>
      <c r="CP18" s="37">
        <f>SUM(K18:$Z$18)</f>
        <v>108988.93</v>
      </c>
      <c r="CQ18" s="36"/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121">
        <v>0</v>
      </c>
      <c r="DM18" s="37">
        <f>SUM(M18:$Z$18)</f>
        <v>108988.93</v>
      </c>
      <c r="DN18" s="36"/>
      <c r="DO18" s="41">
        <v>0</v>
      </c>
      <c r="DP18" s="41">
        <v>0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0</v>
      </c>
      <c r="EJ18" s="121">
        <v>0</v>
      </c>
      <c r="EK18" s="37">
        <f>SUM(O18:$Z$18)</f>
        <v>108988.93</v>
      </c>
      <c r="EL18" s="36"/>
      <c r="EN18" s="21"/>
    </row>
    <row r="19" spans="1:144" s="73" customFormat="1" ht="25" customHeight="1" thickBot="1">
      <c r="A19" s="24"/>
      <c r="B19" s="11"/>
      <c r="C19" s="79"/>
      <c r="D19" s="120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Z19" s="78"/>
      <c r="AA19" s="120"/>
      <c r="AB19" s="119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179"/>
      <c r="AN19" s="179"/>
      <c r="AO19" s="179"/>
      <c r="AP19" s="179"/>
      <c r="AQ19" s="179"/>
      <c r="AR19" s="179"/>
      <c r="AS19" s="179"/>
      <c r="AT19" s="179"/>
      <c r="AU19" s="120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119"/>
      <c r="BS19" s="119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119"/>
      <c r="CQ19" s="119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119"/>
      <c r="DN19" s="119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119"/>
      <c r="EL19" s="119"/>
      <c r="EN19" s="74"/>
    </row>
    <row r="20" spans="1:144" s="13" customFormat="1" ht="25" customHeight="1" thickBot="1">
      <c r="A20" s="87"/>
      <c r="B20" s="11"/>
      <c r="C20" s="118" t="s">
        <v>47</v>
      </c>
      <c r="D20" s="117">
        <f>4900000-4900000</f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-900000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Z20" s="115">
        <v>0</v>
      </c>
      <c r="AA20" s="117">
        <f>+D20+SUM(E20:$Z$20)-Y20</f>
        <v>-900000</v>
      </c>
      <c r="AB20" s="113"/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v>0</v>
      </c>
      <c r="AU20" s="117">
        <f>+D20+SUM(AC20:$AT$20)</f>
        <v>0</v>
      </c>
      <c r="AV20" s="116">
        <v>0</v>
      </c>
      <c r="AW20" s="116">
        <v>0</v>
      </c>
      <c r="AX20" s="116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16">
        <v>0</v>
      </c>
      <c r="BH20" s="116"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5">
        <v>0</v>
      </c>
      <c r="BR20" s="114" t="e">
        <f>+#REF!+SUM(#REF!)</f>
        <v>#REF!</v>
      </c>
      <c r="BS20" s="113"/>
      <c r="BT20" s="116">
        <v>0</v>
      </c>
      <c r="BU20" s="116"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0</v>
      </c>
      <c r="CF20" s="116">
        <v>0</v>
      </c>
      <c r="CG20" s="116">
        <v>0</v>
      </c>
      <c r="CH20" s="116">
        <v>0</v>
      </c>
      <c r="CI20" s="116">
        <v>0</v>
      </c>
      <c r="CJ20" s="116">
        <v>0</v>
      </c>
      <c r="CK20" s="116">
        <v>0</v>
      </c>
      <c r="CL20" s="116">
        <v>0</v>
      </c>
      <c r="CM20" s="116">
        <v>0</v>
      </c>
      <c r="CN20" s="116">
        <v>0</v>
      </c>
      <c r="CO20" s="115">
        <v>0</v>
      </c>
      <c r="CP20" s="114">
        <f>+J20+SUM(K20:$Z$20)</f>
        <v>-900000</v>
      </c>
      <c r="CQ20" s="113"/>
      <c r="CR20" s="116">
        <v>0</v>
      </c>
      <c r="CS20" s="116">
        <v>0</v>
      </c>
      <c r="CT20" s="116">
        <v>0</v>
      </c>
      <c r="CU20" s="116">
        <v>0</v>
      </c>
      <c r="CV20" s="116">
        <v>0</v>
      </c>
      <c r="CW20" s="116">
        <v>0</v>
      </c>
      <c r="CX20" s="116">
        <v>0</v>
      </c>
      <c r="CY20" s="116">
        <v>0</v>
      </c>
      <c r="CZ20" s="116">
        <v>0</v>
      </c>
      <c r="DA20" s="116">
        <v>0</v>
      </c>
      <c r="DB20" s="116">
        <v>0</v>
      </c>
      <c r="DC20" s="116">
        <v>0</v>
      </c>
      <c r="DD20" s="116">
        <v>0</v>
      </c>
      <c r="DE20" s="116">
        <v>0</v>
      </c>
      <c r="DF20" s="116">
        <v>0</v>
      </c>
      <c r="DG20" s="116">
        <v>0</v>
      </c>
      <c r="DH20" s="116">
        <v>0</v>
      </c>
      <c r="DI20" s="116">
        <v>0</v>
      </c>
      <c r="DJ20" s="116">
        <v>0</v>
      </c>
      <c r="DK20" s="116">
        <v>0</v>
      </c>
      <c r="DL20" s="115">
        <v>0</v>
      </c>
      <c r="DM20" s="114">
        <f>+L20+SUM(M20:$Z$20)</f>
        <v>-900000</v>
      </c>
      <c r="DN20" s="113"/>
      <c r="DO20" s="116">
        <v>0</v>
      </c>
      <c r="DP20" s="116">
        <v>0</v>
      </c>
      <c r="DQ20" s="116">
        <v>0</v>
      </c>
      <c r="DR20" s="116">
        <v>0</v>
      </c>
      <c r="DS20" s="116">
        <v>0</v>
      </c>
      <c r="DT20" s="116">
        <v>0</v>
      </c>
      <c r="DU20" s="116">
        <v>0</v>
      </c>
      <c r="DV20" s="116">
        <v>0</v>
      </c>
      <c r="DW20" s="116">
        <v>0</v>
      </c>
      <c r="DX20" s="116">
        <v>0</v>
      </c>
      <c r="DY20" s="116">
        <v>0</v>
      </c>
      <c r="DZ20" s="116">
        <v>0</v>
      </c>
      <c r="EA20" s="116">
        <v>0</v>
      </c>
      <c r="EB20" s="116">
        <v>0</v>
      </c>
      <c r="EC20" s="116">
        <v>0</v>
      </c>
      <c r="ED20" s="116">
        <v>0</v>
      </c>
      <c r="EE20" s="116">
        <v>0</v>
      </c>
      <c r="EF20" s="116">
        <v>0</v>
      </c>
      <c r="EG20" s="116">
        <v>0</v>
      </c>
      <c r="EH20" s="116">
        <v>0</v>
      </c>
      <c r="EI20" s="116">
        <v>0</v>
      </c>
      <c r="EJ20" s="115">
        <v>0</v>
      </c>
      <c r="EK20" s="114">
        <f>+N20+SUM(O20:$Z$20)</f>
        <v>-900000</v>
      </c>
      <c r="EL20" s="113"/>
      <c r="EN20" s="21"/>
    </row>
    <row r="21" spans="1:144" s="13" customFormat="1" ht="25" customHeight="1" thickBot="1">
      <c r="A21" s="87"/>
      <c r="B21" s="11"/>
      <c r="C21" s="20"/>
      <c r="D21" s="111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Z21" s="112"/>
      <c r="AA21" s="111"/>
      <c r="AB21" s="111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>
        <v>25425084.18</v>
      </c>
      <c r="AM21" s="112"/>
      <c r="AN21" s="112"/>
      <c r="AO21" s="112"/>
      <c r="AP21" s="112"/>
      <c r="AQ21" s="112"/>
      <c r="AR21" s="112"/>
      <c r="AS21" s="112"/>
      <c r="AT21" s="112"/>
      <c r="AU21" s="111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1"/>
      <c r="BS21" s="111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1"/>
      <c r="CQ21" s="111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1"/>
      <c r="DN21" s="111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1"/>
      <c r="EL21" s="111"/>
      <c r="EN21" s="21"/>
    </row>
    <row r="22" spans="1:144" s="65" customFormat="1" ht="25" customHeight="1">
      <c r="A22" s="81"/>
      <c r="B22" s="11"/>
      <c r="C22" s="72" t="s">
        <v>46</v>
      </c>
      <c r="D22" s="71"/>
      <c r="E22" s="70">
        <f t="shared" ref="E22:X22" si="30">+E23+E32+SUM(E37:E42)</f>
        <v>24702238.059999999</v>
      </c>
      <c r="F22" s="70">
        <f t="shared" si="30"/>
        <v>14397957.41</v>
      </c>
      <c r="G22" s="70">
        <f t="shared" si="30"/>
        <v>15138246.07</v>
      </c>
      <c r="H22" s="70">
        <f t="shared" si="30"/>
        <v>21339703.890000001</v>
      </c>
      <c r="I22" s="70">
        <f t="shared" si="30"/>
        <v>42637141.790000007</v>
      </c>
      <c r="J22" s="70">
        <f t="shared" si="30"/>
        <v>28152610.640000001</v>
      </c>
      <c r="K22" s="70">
        <f t="shared" si="30"/>
        <v>18306798.93</v>
      </c>
      <c r="L22" s="70">
        <f t="shared" si="30"/>
        <v>19124079.729999997</v>
      </c>
      <c r="M22" s="70">
        <f t="shared" si="30"/>
        <v>19649539.210000001</v>
      </c>
      <c r="N22" s="70">
        <f t="shared" si="30"/>
        <v>8598404.5300000012</v>
      </c>
      <c r="O22" s="70">
        <f t="shared" si="30"/>
        <v>7502848.1900000004</v>
      </c>
      <c r="P22" s="70">
        <f t="shared" si="30"/>
        <v>7449128.1900000004</v>
      </c>
      <c r="Q22" s="70">
        <f t="shared" si="30"/>
        <v>12592683.449999999</v>
      </c>
      <c r="R22" s="70">
        <f t="shared" si="30"/>
        <v>12468276.720000001</v>
      </c>
      <c r="S22" s="70">
        <f t="shared" si="30"/>
        <v>11397659.689999999</v>
      </c>
      <c r="T22" s="70">
        <f t="shared" si="30"/>
        <v>10718294.09</v>
      </c>
      <c r="U22" s="70">
        <f t="shared" si="30"/>
        <v>73713013.199999988</v>
      </c>
      <c r="V22" s="70">
        <f t="shared" si="30"/>
        <v>25055622.43</v>
      </c>
      <c r="W22" s="70">
        <f t="shared" si="30"/>
        <v>27557801.729999997</v>
      </c>
      <c r="X22" s="70">
        <f t="shared" si="30"/>
        <v>26678195.610000003</v>
      </c>
      <c r="Z22" s="69">
        <f t="shared" ref="Z22:BO22" si="31">+Z23+Z32+SUM(Z37:Z42)</f>
        <v>25988088.389999997</v>
      </c>
      <c r="AA22" s="71">
        <f t="shared" si="31"/>
        <v>453168331.95000005</v>
      </c>
      <c r="AB22" s="68">
        <f t="shared" si="31"/>
        <v>31136447.709999993</v>
      </c>
      <c r="AC22" s="70">
        <v>23242643.759999998</v>
      </c>
      <c r="AD22" s="70">
        <v>18701294.960000001</v>
      </c>
      <c r="AE22" s="70">
        <v>17184128.259999998</v>
      </c>
      <c r="AF22" s="70">
        <v>14181468.630000001</v>
      </c>
      <c r="AG22" s="70">
        <v>10869306.620000001</v>
      </c>
      <c r="AH22" s="70">
        <v>10873376.129999997</v>
      </c>
      <c r="AI22" s="70">
        <v>37223289.380000003</v>
      </c>
      <c r="AJ22" s="70">
        <v>14095964.99</v>
      </c>
      <c r="AK22" s="70">
        <v>36185083.600000001</v>
      </c>
      <c r="AL22" s="70">
        <v>34353952.359999999</v>
      </c>
      <c r="AM22" s="70">
        <f t="shared" ref="AM22:AT22" si="32">+AM23+AM32+SUM(AM37:AM42)</f>
        <v>12029060.770000001</v>
      </c>
      <c r="AN22" s="70">
        <f t="shared" si="32"/>
        <v>14636848.52</v>
      </c>
      <c r="AO22" s="70">
        <f t="shared" si="32"/>
        <v>19119082.620000001</v>
      </c>
      <c r="AP22" s="70">
        <f t="shared" si="32"/>
        <v>40626056.289999999</v>
      </c>
      <c r="AQ22" s="70">
        <f t="shared" si="32"/>
        <v>22124243.789999999</v>
      </c>
      <c r="AR22" s="70">
        <f t="shared" si="32"/>
        <v>28359035.959999997</v>
      </c>
      <c r="AS22" s="70">
        <f t="shared" si="32"/>
        <v>37017844.960000001</v>
      </c>
      <c r="AT22" s="70">
        <f t="shared" si="32"/>
        <v>37981486.349999994</v>
      </c>
      <c r="AU22" s="71">
        <f t="shared" si="31"/>
        <v>428804167.94999993</v>
      </c>
      <c r="AV22" s="70">
        <f t="shared" si="31"/>
        <v>0</v>
      </c>
      <c r="AW22" s="70">
        <f t="shared" si="31"/>
        <v>0</v>
      </c>
      <c r="AX22" s="70">
        <f t="shared" si="31"/>
        <v>0</v>
      </c>
      <c r="AY22" s="70">
        <f t="shared" si="31"/>
        <v>0</v>
      </c>
      <c r="AZ22" s="70">
        <f t="shared" si="31"/>
        <v>0</v>
      </c>
      <c r="BA22" s="70">
        <f t="shared" si="31"/>
        <v>0</v>
      </c>
      <c r="BB22" s="70">
        <f t="shared" si="31"/>
        <v>0</v>
      </c>
      <c r="BC22" s="70">
        <f t="shared" si="31"/>
        <v>0</v>
      </c>
      <c r="BD22" s="70">
        <f t="shared" si="31"/>
        <v>0</v>
      </c>
      <c r="BE22" s="70">
        <f t="shared" si="31"/>
        <v>0</v>
      </c>
      <c r="BF22" s="70">
        <f t="shared" si="31"/>
        <v>0</v>
      </c>
      <c r="BG22" s="70">
        <f t="shared" si="31"/>
        <v>0</v>
      </c>
      <c r="BH22" s="70">
        <f t="shared" si="31"/>
        <v>0</v>
      </c>
      <c r="BI22" s="70">
        <f t="shared" si="31"/>
        <v>0</v>
      </c>
      <c r="BJ22" s="70">
        <f t="shared" si="31"/>
        <v>0</v>
      </c>
      <c r="BK22" s="70">
        <f t="shared" si="31"/>
        <v>0</v>
      </c>
      <c r="BL22" s="70">
        <f t="shared" si="31"/>
        <v>0</v>
      </c>
      <c r="BM22" s="70">
        <f t="shared" si="31"/>
        <v>0</v>
      </c>
      <c r="BN22" s="70">
        <f t="shared" si="31"/>
        <v>0</v>
      </c>
      <c r="BO22" s="70">
        <f t="shared" si="31"/>
        <v>0</v>
      </c>
      <c r="BP22" s="70">
        <f t="shared" ref="BP22:CU22" si="33">+BP23+BP32+SUM(BP37:BP42)</f>
        <v>0</v>
      </c>
      <c r="BQ22" s="69">
        <f t="shared" si="33"/>
        <v>0</v>
      </c>
      <c r="BR22" s="68" t="e">
        <f t="shared" si="33"/>
        <v>#REF!</v>
      </c>
      <c r="BS22" s="68">
        <f t="shared" si="33"/>
        <v>0</v>
      </c>
      <c r="BT22" s="70">
        <f t="shared" si="33"/>
        <v>0</v>
      </c>
      <c r="BU22" s="70">
        <f t="shared" si="33"/>
        <v>0</v>
      </c>
      <c r="BV22" s="70">
        <f t="shared" si="33"/>
        <v>0</v>
      </c>
      <c r="BW22" s="70">
        <f t="shared" si="33"/>
        <v>0</v>
      </c>
      <c r="BX22" s="70">
        <f t="shared" si="33"/>
        <v>0</v>
      </c>
      <c r="BY22" s="70">
        <f t="shared" si="33"/>
        <v>0</v>
      </c>
      <c r="BZ22" s="70">
        <f t="shared" si="33"/>
        <v>0</v>
      </c>
      <c r="CA22" s="70">
        <f t="shared" si="33"/>
        <v>0</v>
      </c>
      <c r="CB22" s="70">
        <f t="shared" si="33"/>
        <v>0</v>
      </c>
      <c r="CC22" s="70">
        <f t="shared" si="33"/>
        <v>0</v>
      </c>
      <c r="CD22" s="70">
        <f t="shared" si="33"/>
        <v>0</v>
      </c>
      <c r="CE22" s="70">
        <f t="shared" si="33"/>
        <v>0</v>
      </c>
      <c r="CF22" s="70">
        <f t="shared" si="33"/>
        <v>0</v>
      </c>
      <c r="CG22" s="70">
        <f t="shared" si="33"/>
        <v>0</v>
      </c>
      <c r="CH22" s="70">
        <f t="shared" si="33"/>
        <v>0</v>
      </c>
      <c r="CI22" s="70">
        <f t="shared" si="33"/>
        <v>0</v>
      </c>
      <c r="CJ22" s="70">
        <f t="shared" si="33"/>
        <v>0</v>
      </c>
      <c r="CK22" s="70">
        <f t="shared" si="33"/>
        <v>0</v>
      </c>
      <c r="CL22" s="70">
        <f t="shared" si="33"/>
        <v>0</v>
      </c>
      <c r="CM22" s="70">
        <f t="shared" si="33"/>
        <v>0</v>
      </c>
      <c r="CN22" s="70">
        <f t="shared" si="33"/>
        <v>0</v>
      </c>
      <c r="CO22" s="69">
        <f t="shared" si="33"/>
        <v>0</v>
      </c>
      <c r="CP22" s="68">
        <f t="shared" si="33"/>
        <v>306800434.09000003</v>
      </c>
      <c r="CQ22" s="68">
        <f t="shared" si="33"/>
        <v>0</v>
      </c>
      <c r="CR22" s="70">
        <f t="shared" si="33"/>
        <v>0</v>
      </c>
      <c r="CS22" s="70">
        <f t="shared" si="33"/>
        <v>0</v>
      </c>
      <c r="CT22" s="70">
        <f t="shared" si="33"/>
        <v>0</v>
      </c>
      <c r="CU22" s="70">
        <f t="shared" si="33"/>
        <v>0</v>
      </c>
      <c r="CV22" s="70">
        <f t="shared" ref="CV22:EA22" si="34">+CV23+CV32+SUM(CV37:CV42)</f>
        <v>0</v>
      </c>
      <c r="CW22" s="70">
        <f t="shared" si="34"/>
        <v>0</v>
      </c>
      <c r="CX22" s="70">
        <f t="shared" si="34"/>
        <v>0</v>
      </c>
      <c r="CY22" s="70">
        <f t="shared" si="34"/>
        <v>0</v>
      </c>
      <c r="CZ22" s="70">
        <f t="shared" si="34"/>
        <v>0</v>
      </c>
      <c r="DA22" s="70">
        <f t="shared" si="34"/>
        <v>0</v>
      </c>
      <c r="DB22" s="70">
        <f t="shared" si="34"/>
        <v>0</v>
      </c>
      <c r="DC22" s="70">
        <f t="shared" si="34"/>
        <v>0</v>
      </c>
      <c r="DD22" s="70">
        <f t="shared" si="34"/>
        <v>0</v>
      </c>
      <c r="DE22" s="70">
        <f t="shared" si="34"/>
        <v>0</v>
      </c>
      <c r="DF22" s="70">
        <f t="shared" si="34"/>
        <v>0</v>
      </c>
      <c r="DG22" s="70">
        <f t="shared" si="34"/>
        <v>0</v>
      </c>
      <c r="DH22" s="70">
        <f t="shared" si="34"/>
        <v>0</v>
      </c>
      <c r="DI22" s="70">
        <f t="shared" si="34"/>
        <v>0</v>
      </c>
      <c r="DJ22" s="70">
        <f t="shared" si="34"/>
        <v>0</v>
      </c>
      <c r="DK22" s="70">
        <f t="shared" si="34"/>
        <v>0</v>
      </c>
      <c r="DL22" s="69">
        <f t="shared" si="34"/>
        <v>0</v>
      </c>
      <c r="DM22" s="68">
        <f t="shared" si="34"/>
        <v>269369555.43000001</v>
      </c>
      <c r="DN22" s="68">
        <f t="shared" si="34"/>
        <v>0</v>
      </c>
      <c r="DO22" s="70">
        <f t="shared" si="34"/>
        <v>0</v>
      </c>
      <c r="DP22" s="70">
        <f t="shared" si="34"/>
        <v>0</v>
      </c>
      <c r="DQ22" s="70">
        <f t="shared" si="34"/>
        <v>0</v>
      </c>
      <c r="DR22" s="70">
        <f t="shared" si="34"/>
        <v>0</v>
      </c>
      <c r="DS22" s="70">
        <f t="shared" si="34"/>
        <v>0</v>
      </c>
      <c r="DT22" s="70">
        <f t="shared" si="34"/>
        <v>0</v>
      </c>
      <c r="DU22" s="70">
        <f t="shared" si="34"/>
        <v>0</v>
      </c>
      <c r="DV22" s="70">
        <f t="shared" si="34"/>
        <v>0</v>
      </c>
      <c r="DW22" s="70">
        <f t="shared" si="34"/>
        <v>0</v>
      </c>
      <c r="DX22" s="70">
        <f t="shared" si="34"/>
        <v>0</v>
      </c>
      <c r="DY22" s="70">
        <f t="shared" si="34"/>
        <v>0</v>
      </c>
      <c r="DZ22" s="70">
        <f t="shared" si="34"/>
        <v>0</v>
      </c>
      <c r="EA22" s="70">
        <f t="shared" si="34"/>
        <v>0</v>
      </c>
      <c r="EB22" s="70">
        <f t="shared" ref="EB22:EL22" si="35">+EB23+EB32+SUM(EB37:EB42)</f>
        <v>0</v>
      </c>
      <c r="EC22" s="70">
        <f t="shared" si="35"/>
        <v>0</v>
      </c>
      <c r="ED22" s="70">
        <f t="shared" si="35"/>
        <v>0</v>
      </c>
      <c r="EE22" s="70">
        <f t="shared" si="35"/>
        <v>0</v>
      </c>
      <c r="EF22" s="70">
        <f t="shared" si="35"/>
        <v>0</v>
      </c>
      <c r="EG22" s="70">
        <f t="shared" si="35"/>
        <v>0</v>
      </c>
      <c r="EH22" s="70">
        <f t="shared" si="35"/>
        <v>0</v>
      </c>
      <c r="EI22" s="70">
        <f t="shared" si="35"/>
        <v>0</v>
      </c>
      <c r="EJ22" s="69">
        <f t="shared" si="35"/>
        <v>0</v>
      </c>
      <c r="EK22" s="68">
        <f t="shared" si="35"/>
        <v>241121611.69</v>
      </c>
      <c r="EL22" s="68">
        <f t="shared" si="35"/>
        <v>0</v>
      </c>
      <c r="EN22" s="66"/>
    </row>
    <row r="23" spans="1:144" s="13" customFormat="1" ht="25" customHeight="1">
      <c r="A23" s="87"/>
      <c r="B23" s="11">
        <v>801</v>
      </c>
      <c r="C23" s="55" t="s">
        <v>45</v>
      </c>
      <c r="D23" s="54"/>
      <c r="E23" s="53">
        <f t="shared" ref="E23:X23" si="36">SUM(E24:E31)</f>
        <v>24658068.66</v>
      </c>
      <c r="F23" s="53">
        <f t="shared" si="36"/>
        <v>14368117.48</v>
      </c>
      <c r="G23" s="53">
        <f t="shared" si="36"/>
        <v>15135893.860000001</v>
      </c>
      <c r="H23" s="53">
        <f t="shared" si="36"/>
        <v>21319128.09</v>
      </c>
      <c r="I23" s="53">
        <f t="shared" si="36"/>
        <v>12637141.790000003</v>
      </c>
      <c r="J23" s="53">
        <f t="shared" si="36"/>
        <v>8135716.4500000002</v>
      </c>
      <c r="K23" s="53">
        <f t="shared" si="36"/>
        <v>8281919.8899999997</v>
      </c>
      <c r="L23" s="53">
        <f t="shared" si="36"/>
        <v>9066186.5599999987</v>
      </c>
      <c r="M23" s="53">
        <f t="shared" si="36"/>
        <v>9610101.1799999997</v>
      </c>
      <c r="N23" s="53">
        <f t="shared" si="36"/>
        <v>8398618.4500000011</v>
      </c>
      <c r="O23" s="53">
        <f t="shared" si="36"/>
        <v>7496792.5</v>
      </c>
      <c r="P23" s="53">
        <f t="shared" si="36"/>
        <v>6909759.4500000002</v>
      </c>
      <c r="Q23" s="53">
        <f t="shared" si="36"/>
        <v>12391897.91</v>
      </c>
      <c r="R23" s="53">
        <f t="shared" si="36"/>
        <v>12468270.48</v>
      </c>
      <c r="S23" s="53">
        <f t="shared" si="36"/>
        <v>11397564.969999999</v>
      </c>
      <c r="T23" s="53">
        <f t="shared" si="36"/>
        <v>10718016.220000001</v>
      </c>
      <c r="U23" s="53">
        <f t="shared" si="36"/>
        <v>21077799.949999999</v>
      </c>
      <c r="V23" s="53">
        <f t="shared" si="36"/>
        <v>24984757.720000003</v>
      </c>
      <c r="W23" s="53">
        <f t="shared" si="36"/>
        <v>27523336.869999997</v>
      </c>
      <c r="X23" s="53">
        <f t="shared" si="36"/>
        <v>26653609.440000001</v>
      </c>
      <c r="Z23" s="52">
        <f>SUM(Z24:Z31)</f>
        <v>23843283.869999997</v>
      </c>
      <c r="AA23" s="54">
        <f>SUM(E23:$Z$23)-Y23</f>
        <v>317075981.79000002</v>
      </c>
      <c r="AB23" s="51">
        <f>338854326.92-AA23</f>
        <v>21778345.129999995</v>
      </c>
      <c r="AC23" s="53">
        <v>23239647.869999997</v>
      </c>
      <c r="AD23" s="53">
        <v>18603621.460000001</v>
      </c>
      <c r="AE23" s="53">
        <v>17131930.059999999</v>
      </c>
      <c r="AF23" s="53">
        <v>14161074.530000001</v>
      </c>
      <c r="AG23" s="53">
        <v>10793488.92</v>
      </c>
      <c r="AH23" s="53">
        <v>10658965.399999999</v>
      </c>
      <c r="AI23" s="53">
        <v>12199387.720000001</v>
      </c>
      <c r="AJ23" s="53">
        <v>14091639.140000001</v>
      </c>
      <c r="AK23" s="53">
        <v>11169838.699999999</v>
      </c>
      <c r="AL23" s="53">
        <v>9316101.1499999985</v>
      </c>
      <c r="AM23" s="53">
        <f t="shared" ref="AM23:AT23" si="37">SUM(AM24:AM31)</f>
        <v>11805260.100000001</v>
      </c>
      <c r="AN23" s="53">
        <f t="shared" si="37"/>
        <v>14603952.629999999</v>
      </c>
      <c r="AO23" s="53">
        <f t="shared" si="37"/>
        <v>18755034.690000001</v>
      </c>
      <c r="AP23" s="53">
        <f t="shared" si="37"/>
        <v>15628860.77</v>
      </c>
      <c r="AQ23" s="53">
        <f t="shared" si="37"/>
        <v>22095697.039999999</v>
      </c>
      <c r="AR23" s="53">
        <f t="shared" si="37"/>
        <v>28337599.399999999</v>
      </c>
      <c r="AS23" s="53">
        <f t="shared" si="37"/>
        <v>31265506.420000002</v>
      </c>
      <c r="AT23" s="53">
        <f t="shared" si="37"/>
        <v>36674838.609999992</v>
      </c>
      <c r="AU23" s="54">
        <f t="shared" ref="AU23:BQ23" si="38">SUM(AU24:AU31)</f>
        <v>320532444.60999995</v>
      </c>
      <c r="AV23" s="53">
        <f t="shared" si="38"/>
        <v>0</v>
      </c>
      <c r="AW23" s="53">
        <f t="shared" si="38"/>
        <v>0</v>
      </c>
      <c r="AX23" s="53">
        <f t="shared" si="38"/>
        <v>0</v>
      </c>
      <c r="AY23" s="53">
        <f t="shared" si="38"/>
        <v>0</v>
      </c>
      <c r="AZ23" s="53">
        <f t="shared" si="38"/>
        <v>0</v>
      </c>
      <c r="BA23" s="53">
        <f t="shared" si="38"/>
        <v>0</v>
      </c>
      <c r="BB23" s="53">
        <f t="shared" si="38"/>
        <v>0</v>
      </c>
      <c r="BC23" s="53">
        <f t="shared" si="38"/>
        <v>0</v>
      </c>
      <c r="BD23" s="53">
        <f t="shared" si="38"/>
        <v>0</v>
      </c>
      <c r="BE23" s="53">
        <f t="shared" si="38"/>
        <v>0</v>
      </c>
      <c r="BF23" s="53">
        <f t="shared" si="38"/>
        <v>0</v>
      </c>
      <c r="BG23" s="53">
        <f t="shared" si="38"/>
        <v>0</v>
      </c>
      <c r="BH23" s="53">
        <f t="shared" si="38"/>
        <v>0</v>
      </c>
      <c r="BI23" s="53">
        <f t="shared" si="38"/>
        <v>0</v>
      </c>
      <c r="BJ23" s="53">
        <f t="shared" si="38"/>
        <v>0</v>
      </c>
      <c r="BK23" s="53">
        <f t="shared" si="38"/>
        <v>0</v>
      </c>
      <c r="BL23" s="53">
        <f t="shared" si="38"/>
        <v>0</v>
      </c>
      <c r="BM23" s="53">
        <f t="shared" si="38"/>
        <v>0</v>
      </c>
      <c r="BN23" s="53">
        <f t="shared" si="38"/>
        <v>0</v>
      </c>
      <c r="BO23" s="53">
        <f t="shared" si="38"/>
        <v>0</v>
      </c>
      <c r="BP23" s="53">
        <f t="shared" si="38"/>
        <v>0</v>
      </c>
      <c r="BQ23" s="52">
        <f t="shared" si="38"/>
        <v>0</v>
      </c>
      <c r="BR23" s="51" t="e">
        <f>SUM(#REF!)</f>
        <v>#REF!</v>
      </c>
      <c r="BS23" s="51">
        <v>0</v>
      </c>
      <c r="BT23" s="53">
        <f t="shared" ref="BT23:CO23" si="39">SUM(BT24:BT31)</f>
        <v>0</v>
      </c>
      <c r="BU23" s="53">
        <f t="shared" si="39"/>
        <v>0</v>
      </c>
      <c r="BV23" s="53">
        <f t="shared" si="39"/>
        <v>0</v>
      </c>
      <c r="BW23" s="53">
        <f t="shared" si="39"/>
        <v>0</v>
      </c>
      <c r="BX23" s="53">
        <f t="shared" si="39"/>
        <v>0</v>
      </c>
      <c r="BY23" s="53">
        <f t="shared" si="39"/>
        <v>0</v>
      </c>
      <c r="BZ23" s="53">
        <f t="shared" si="39"/>
        <v>0</v>
      </c>
      <c r="CA23" s="53">
        <f t="shared" si="39"/>
        <v>0</v>
      </c>
      <c r="CB23" s="53">
        <f t="shared" si="39"/>
        <v>0</v>
      </c>
      <c r="CC23" s="53">
        <f t="shared" si="39"/>
        <v>0</v>
      </c>
      <c r="CD23" s="53">
        <f t="shared" si="39"/>
        <v>0</v>
      </c>
      <c r="CE23" s="53">
        <f t="shared" si="39"/>
        <v>0</v>
      </c>
      <c r="CF23" s="53">
        <f t="shared" si="39"/>
        <v>0</v>
      </c>
      <c r="CG23" s="53">
        <f t="shared" si="39"/>
        <v>0</v>
      </c>
      <c r="CH23" s="53">
        <f t="shared" si="39"/>
        <v>0</v>
      </c>
      <c r="CI23" s="53">
        <f t="shared" si="39"/>
        <v>0</v>
      </c>
      <c r="CJ23" s="53">
        <f t="shared" si="39"/>
        <v>0</v>
      </c>
      <c r="CK23" s="53">
        <f t="shared" si="39"/>
        <v>0</v>
      </c>
      <c r="CL23" s="53">
        <f t="shared" si="39"/>
        <v>0</v>
      </c>
      <c r="CM23" s="53">
        <f t="shared" si="39"/>
        <v>0</v>
      </c>
      <c r="CN23" s="53">
        <f t="shared" si="39"/>
        <v>0</v>
      </c>
      <c r="CO23" s="52">
        <f t="shared" si="39"/>
        <v>0</v>
      </c>
      <c r="CP23" s="51">
        <f>SUM(K23:$Z$23)</f>
        <v>220821915.46000001</v>
      </c>
      <c r="CQ23" s="51">
        <v>0</v>
      </c>
      <c r="CR23" s="53">
        <f t="shared" ref="CR23:DL23" si="40">SUM(CR24:CR31)</f>
        <v>0</v>
      </c>
      <c r="CS23" s="53">
        <f t="shared" si="40"/>
        <v>0</v>
      </c>
      <c r="CT23" s="53">
        <f t="shared" si="40"/>
        <v>0</v>
      </c>
      <c r="CU23" s="53">
        <f t="shared" si="40"/>
        <v>0</v>
      </c>
      <c r="CV23" s="53">
        <f t="shared" si="40"/>
        <v>0</v>
      </c>
      <c r="CW23" s="53">
        <f t="shared" si="40"/>
        <v>0</v>
      </c>
      <c r="CX23" s="53">
        <f t="shared" si="40"/>
        <v>0</v>
      </c>
      <c r="CY23" s="53">
        <f t="shared" si="40"/>
        <v>0</v>
      </c>
      <c r="CZ23" s="53">
        <f t="shared" si="40"/>
        <v>0</v>
      </c>
      <c r="DA23" s="53">
        <f t="shared" si="40"/>
        <v>0</v>
      </c>
      <c r="DB23" s="53">
        <f t="shared" si="40"/>
        <v>0</v>
      </c>
      <c r="DC23" s="53">
        <f t="shared" si="40"/>
        <v>0</v>
      </c>
      <c r="DD23" s="53">
        <f t="shared" si="40"/>
        <v>0</v>
      </c>
      <c r="DE23" s="53">
        <f t="shared" si="40"/>
        <v>0</v>
      </c>
      <c r="DF23" s="53">
        <f t="shared" si="40"/>
        <v>0</v>
      </c>
      <c r="DG23" s="53">
        <f t="shared" si="40"/>
        <v>0</v>
      </c>
      <c r="DH23" s="53">
        <f t="shared" si="40"/>
        <v>0</v>
      </c>
      <c r="DI23" s="53">
        <f t="shared" si="40"/>
        <v>0</v>
      </c>
      <c r="DJ23" s="53">
        <f t="shared" si="40"/>
        <v>0</v>
      </c>
      <c r="DK23" s="53">
        <f t="shared" si="40"/>
        <v>0</v>
      </c>
      <c r="DL23" s="52">
        <f t="shared" si="40"/>
        <v>0</v>
      </c>
      <c r="DM23" s="51">
        <f>SUM(M23:$Z$23)</f>
        <v>203473809.00999999</v>
      </c>
      <c r="DN23" s="51">
        <v>0</v>
      </c>
      <c r="DO23" s="53">
        <f t="shared" ref="DO23:EJ23" si="41">SUM(DO24:DO31)</f>
        <v>0</v>
      </c>
      <c r="DP23" s="53">
        <f t="shared" si="41"/>
        <v>0</v>
      </c>
      <c r="DQ23" s="53">
        <f t="shared" si="41"/>
        <v>0</v>
      </c>
      <c r="DR23" s="53">
        <f t="shared" si="41"/>
        <v>0</v>
      </c>
      <c r="DS23" s="53">
        <f t="shared" si="41"/>
        <v>0</v>
      </c>
      <c r="DT23" s="53">
        <f t="shared" si="41"/>
        <v>0</v>
      </c>
      <c r="DU23" s="53">
        <f t="shared" si="41"/>
        <v>0</v>
      </c>
      <c r="DV23" s="53">
        <f t="shared" si="41"/>
        <v>0</v>
      </c>
      <c r="DW23" s="53">
        <f t="shared" si="41"/>
        <v>0</v>
      </c>
      <c r="DX23" s="53">
        <f t="shared" si="41"/>
        <v>0</v>
      </c>
      <c r="DY23" s="53">
        <f t="shared" si="41"/>
        <v>0</v>
      </c>
      <c r="DZ23" s="53">
        <f t="shared" si="41"/>
        <v>0</v>
      </c>
      <c r="EA23" s="53">
        <f t="shared" si="41"/>
        <v>0</v>
      </c>
      <c r="EB23" s="53">
        <f t="shared" si="41"/>
        <v>0</v>
      </c>
      <c r="EC23" s="53">
        <f t="shared" si="41"/>
        <v>0</v>
      </c>
      <c r="ED23" s="53">
        <f t="shared" si="41"/>
        <v>0</v>
      </c>
      <c r="EE23" s="53">
        <f t="shared" si="41"/>
        <v>0</v>
      </c>
      <c r="EF23" s="53">
        <f t="shared" si="41"/>
        <v>0</v>
      </c>
      <c r="EG23" s="53">
        <f t="shared" si="41"/>
        <v>0</v>
      </c>
      <c r="EH23" s="53">
        <f t="shared" si="41"/>
        <v>0</v>
      </c>
      <c r="EI23" s="53">
        <f t="shared" si="41"/>
        <v>0</v>
      </c>
      <c r="EJ23" s="52">
        <f t="shared" si="41"/>
        <v>0</v>
      </c>
      <c r="EK23" s="51">
        <f>SUM(O23:$Z$23)</f>
        <v>185465089.38</v>
      </c>
      <c r="EL23" s="51">
        <v>0</v>
      </c>
      <c r="EM23" s="29"/>
      <c r="EN23" s="21"/>
    </row>
    <row r="24" spans="1:144" s="13" customFormat="1" ht="25" customHeight="1">
      <c r="A24" s="90" t="s">
        <v>6</v>
      </c>
      <c r="B24" s="80"/>
      <c r="C24" s="103" t="s">
        <v>44</v>
      </c>
      <c r="D24" s="58"/>
      <c r="E24" s="57">
        <v>0</v>
      </c>
      <c r="F24" s="57">
        <v>7049.65</v>
      </c>
      <c r="G24" s="57">
        <v>3953.4</v>
      </c>
      <c r="H24" s="57">
        <v>10411</v>
      </c>
      <c r="I24" s="57">
        <v>14339.3</v>
      </c>
      <c r="J24" s="57">
        <v>43434.22</v>
      </c>
      <c r="K24" s="57">
        <v>8581.5</v>
      </c>
      <c r="L24" s="57">
        <v>21846.11</v>
      </c>
      <c r="M24" s="57">
        <v>5327.5</v>
      </c>
      <c r="N24" s="57">
        <v>8417.81</v>
      </c>
      <c r="O24" s="57">
        <v>37616.1</v>
      </c>
      <c r="P24" s="57">
        <v>14466.8</v>
      </c>
      <c r="Q24" s="57">
        <v>4569.3999999999996</v>
      </c>
      <c r="R24" s="57">
        <v>15411.15</v>
      </c>
      <c r="S24" s="57">
        <v>21454.3</v>
      </c>
      <c r="T24" s="57">
        <v>21643.7</v>
      </c>
      <c r="U24" s="57">
        <v>240682.15</v>
      </c>
      <c r="V24" s="57">
        <v>78193.25</v>
      </c>
      <c r="W24" s="57">
        <v>174364.1</v>
      </c>
      <c r="X24" s="57">
        <v>76870.899999999994</v>
      </c>
      <c r="Z24" s="56">
        <v>111266.35</v>
      </c>
      <c r="AA24" s="58">
        <f>SUM(E24:$Z$24)-Y24</f>
        <v>919898.69</v>
      </c>
      <c r="AB24" s="51">
        <v>0</v>
      </c>
      <c r="AC24" s="57">
        <v>215269</v>
      </c>
      <c r="AD24" s="57">
        <v>28579.25</v>
      </c>
      <c r="AE24" s="57">
        <v>4958.6000000000004</v>
      </c>
      <c r="AF24" s="57">
        <v>66145</v>
      </c>
      <c r="AG24" s="57">
        <v>53269.2</v>
      </c>
      <c r="AH24" s="57">
        <v>13708.14</v>
      </c>
      <c r="AI24" s="57">
        <v>4900.3999999999996</v>
      </c>
      <c r="AJ24" s="57">
        <v>59482.84</v>
      </c>
      <c r="AK24" s="57">
        <v>48860.5</v>
      </c>
      <c r="AL24" s="57">
        <v>10001.5</v>
      </c>
      <c r="AM24" s="57">
        <v>57488.4</v>
      </c>
      <c r="AN24" s="57">
        <v>19814.2</v>
      </c>
      <c r="AO24" s="57">
        <v>36599.449999999997</v>
      </c>
      <c r="AP24" s="57">
        <v>86157.1</v>
      </c>
      <c r="AQ24" s="57">
        <v>46688</v>
      </c>
      <c r="AR24" s="57">
        <v>293691.7</v>
      </c>
      <c r="AS24" s="57">
        <v>96091.55</v>
      </c>
      <c r="AT24" s="57">
        <v>25259.200000000001</v>
      </c>
      <c r="AU24" s="58">
        <f>SUM(AC24:$AT$24)</f>
        <v>1166964.03</v>
      </c>
      <c r="AV24" s="57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57">
        <v>0</v>
      </c>
      <c r="BH24" s="57">
        <v>0</v>
      </c>
      <c r="BI24" s="57">
        <v>0</v>
      </c>
      <c r="BJ24" s="57">
        <v>0</v>
      </c>
      <c r="BK24" s="57">
        <v>0</v>
      </c>
      <c r="BL24" s="57">
        <v>0</v>
      </c>
      <c r="BM24" s="57">
        <v>0</v>
      </c>
      <c r="BN24" s="57">
        <v>0</v>
      </c>
      <c r="BO24" s="57">
        <v>0</v>
      </c>
      <c r="BP24" s="57">
        <v>0</v>
      </c>
      <c r="BQ24" s="56">
        <v>0</v>
      </c>
      <c r="BR24" s="51" t="e">
        <f>SUM(#REF!)</f>
        <v>#REF!</v>
      </c>
      <c r="BS24" s="51">
        <v>0</v>
      </c>
      <c r="BT24" s="57">
        <v>0</v>
      </c>
      <c r="BU24" s="57">
        <v>0</v>
      </c>
      <c r="BV24" s="57">
        <v>0</v>
      </c>
      <c r="BW24" s="57">
        <v>0</v>
      </c>
      <c r="BX24" s="57">
        <v>0</v>
      </c>
      <c r="BY24" s="57">
        <v>0</v>
      </c>
      <c r="BZ24" s="57">
        <v>0</v>
      </c>
      <c r="CA24" s="57">
        <v>0</v>
      </c>
      <c r="CB24" s="57">
        <v>0</v>
      </c>
      <c r="CC24" s="57">
        <v>0</v>
      </c>
      <c r="CD24" s="57">
        <v>0</v>
      </c>
      <c r="CE24" s="57">
        <v>0</v>
      </c>
      <c r="CF24" s="57">
        <v>0</v>
      </c>
      <c r="CG24" s="57">
        <v>0</v>
      </c>
      <c r="CH24" s="57">
        <v>0</v>
      </c>
      <c r="CI24" s="57">
        <v>0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6">
        <v>0</v>
      </c>
      <c r="CP24" s="51">
        <f>SUM(K24:$Z$24)</f>
        <v>840711.12</v>
      </c>
      <c r="CQ24" s="51">
        <v>0</v>
      </c>
      <c r="CR24" s="57">
        <v>0</v>
      </c>
      <c r="CS24" s="57">
        <v>0</v>
      </c>
      <c r="CT24" s="57">
        <v>0</v>
      </c>
      <c r="CU24" s="57">
        <v>0</v>
      </c>
      <c r="CV24" s="57">
        <v>0</v>
      </c>
      <c r="CW24" s="57">
        <v>0</v>
      </c>
      <c r="CX24" s="57">
        <v>0</v>
      </c>
      <c r="CY24" s="57">
        <v>0</v>
      </c>
      <c r="CZ24" s="57">
        <v>0</v>
      </c>
      <c r="DA24" s="57">
        <v>0</v>
      </c>
      <c r="DB24" s="57">
        <v>0</v>
      </c>
      <c r="DC24" s="57">
        <v>0</v>
      </c>
      <c r="DD24" s="57">
        <v>0</v>
      </c>
      <c r="DE24" s="57">
        <v>0</v>
      </c>
      <c r="DF24" s="57">
        <v>0</v>
      </c>
      <c r="DG24" s="57">
        <v>0</v>
      </c>
      <c r="DH24" s="57">
        <v>0</v>
      </c>
      <c r="DI24" s="57">
        <v>0</v>
      </c>
      <c r="DJ24" s="57">
        <v>0</v>
      </c>
      <c r="DK24" s="57">
        <v>0</v>
      </c>
      <c r="DL24" s="56">
        <v>0</v>
      </c>
      <c r="DM24" s="51">
        <f>SUM(M24:$Z$24)</f>
        <v>810283.51</v>
      </c>
      <c r="DN24" s="51">
        <v>0</v>
      </c>
      <c r="DO24" s="57">
        <v>0</v>
      </c>
      <c r="DP24" s="57">
        <v>0</v>
      </c>
      <c r="DQ24" s="57">
        <v>0</v>
      </c>
      <c r="DR24" s="57">
        <v>0</v>
      </c>
      <c r="DS24" s="57">
        <v>0</v>
      </c>
      <c r="DT24" s="57">
        <v>0</v>
      </c>
      <c r="DU24" s="57">
        <v>0</v>
      </c>
      <c r="DV24" s="57">
        <v>0</v>
      </c>
      <c r="DW24" s="57">
        <v>0</v>
      </c>
      <c r="DX24" s="57">
        <v>0</v>
      </c>
      <c r="DY24" s="57">
        <v>0</v>
      </c>
      <c r="DZ24" s="57">
        <v>0</v>
      </c>
      <c r="EA24" s="57">
        <v>0</v>
      </c>
      <c r="EB24" s="57">
        <v>0</v>
      </c>
      <c r="EC24" s="57">
        <v>0</v>
      </c>
      <c r="ED24" s="57">
        <v>0</v>
      </c>
      <c r="EE24" s="57">
        <v>0</v>
      </c>
      <c r="EF24" s="57">
        <v>0</v>
      </c>
      <c r="EG24" s="57">
        <v>0</v>
      </c>
      <c r="EH24" s="57">
        <v>0</v>
      </c>
      <c r="EI24" s="57">
        <v>0</v>
      </c>
      <c r="EJ24" s="56">
        <v>0</v>
      </c>
      <c r="EK24" s="51">
        <f>SUM(O24:$Z$24)</f>
        <v>796538.2</v>
      </c>
      <c r="EL24" s="51">
        <v>0</v>
      </c>
    </row>
    <row r="25" spans="1:144" s="13" customFormat="1" ht="25" customHeight="1">
      <c r="A25" s="90" t="s">
        <v>6</v>
      </c>
      <c r="B25" s="80"/>
      <c r="C25" s="103" t="s">
        <v>43</v>
      </c>
      <c r="D25" s="58"/>
      <c r="E25" s="57">
        <v>0</v>
      </c>
      <c r="F25" s="57">
        <v>66</v>
      </c>
      <c r="G25" s="57">
        <v>1123.33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5188.28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2706.42</v>
      </c>
      <c r="V25" s="57">
        <v>0</v>
      </c>
      <c r="W25" s="57">
        <v>0</v>
      </c>
      <c r="X25" s="57">
        <v>0</v>
      </c>
      <c r="Z25" s="56">
        <v>0</v>
      </c>
      <c r="AA25" s="58">
        <f>SUM(E25:$Z$25)-Y25</f>
        <v>9084.0299999999988</v>
      </c>
      <c r="AB25" s="51">
        <v>0</v>
      </c>
      <c r="AC25" s="57">
        <v>4075.11</v>
      </c>
      <c r="AD25" s="57">
        <v>0</v>
      </c>
      <c r="AE25" s="57">
        <v>0</v>
      </c>
      <c r="AF25" s="57">
        <v>0</v>
      </c>
      <c r="AG25" s="57">
        <v>8012.04</v>
      </c>
      <c r="AH25" s="57">
        <v>0</v>
      </c>
      <c r="AI25" s="57">
        <v>0</v>
      </c>
      <c r="AJ25" s="57">
        <v>6577.24</v>
      </c>
      <c r="AK25" s="57">
        <v>0</v>
      </c>
      <c r="AL25" s="57">
        <v>7156.8</v>
      </c>
      <c r="AM25" s="57">
        <v>5919.66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f>9281.07</f>
        <v>9281.07</v>
      </c>
      <c r="AU25" s="58">
        <f>SUM(AC25:$AT$25)</f>
        <v>41021.919999999998</v>
      </c>
      <c r="AV25" s="57">
        <v>0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7">
        <v>0</v>
      </c>
      <c r="BE25" s="57">
        <v>0</v>
      </c>
      <c r="BF25" s="57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57">
        <v>0</v>
      </c>
      <c r="BM25" s="57">
        <v>0</v>
      </c>
      <c r="BN25" s="57">
        <v>0</v>
      </c>
      <c r="BO25" s="57">
        <v>0</v>
      </c>
      <c r="BP25" s="57">
        <v>0</v>
      </c>
      <c r="BQ25" s="56">
        <v>0</v>
      </c>
      <c r="BR25" s="51" t="e">
        <f>SUM(#REF!)</f>
        <v>#REF!</v>
      </c>
      <c r="BS25" s="51">
        <v>0</v>
      </c>
      <c r="BT25" s="57">
        <v>0</v>
      </c>
      <c r="BU25" s="57">
        <v>0</v>
      </c>
      <c r="BV25" s="57">
        <v>0</v>
      </c>
      <c r="BW25" s="57">
        <v>0</v>
      </c>
      <c r="BX25" s="57">
        <v>0</v>
      </c>
      <c r="BY25" s="57">
        <v>0</v>
      </c>
      <c r="BZ25" s="57">
        <v>0</v>
      </c>
      <c r="CA25" s="57">
        <v>0</v>
      </c>
      <c r="CB25" s="57">
        <v>0</v>
      </c>
      <c r="CC25" s="57">
        <v>0</v>
      </c>
      <c r="CD25" s="57">
        <v>0</v>
      </c>
      <c r="CE25" s="57">
        <v>0</v>
      </c>
      <c r="CF25" s="57">
        <v>0</v>
      </c>
      <c r="CG25" s="57">
        <v>0</v>
      </c>
      <c r="CH25" s="57">
        <v>0</v>
      </c>
      <c r="CI25" s="57">
        <v>0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6">
        <v>0</v>
      </c>
      <c r="CP25" s="51">
        <f>SUM(K25:$Z$25)</f>
        <v>7894.7</v>
      </c>
      <c r="CQ25" s="51">
        <v>0</v>
      </c>
      <c r="CR25" s="57">
        <v>0</v>
      </c>
      <c r="CS25" s="57">
        <v>0</v>
      </c>
      <c r="CT25" s="57">
        <v>0</v>
      </c>
      <c r="CU25" s="57">
        <v>0</v>
      </c>
      <c r="CV25" s="57">
        <v>0</v>
      </c>
      <c r="CW25" s="57">
        <v>0</v>
      </c>
      <c r="CX25" s="57">
        <v>0</v>
      </c>
      <c r="CY25" s="57">
        <v>0</v>
      </c>
      <c r="CZ25" s="57">
        <v>0</v>
      </c>
      <c r="DA25" s="57">
        <v>0</v>
      </c>
      <c r="DB25" s="57">
        <v>0</v>
      </c>
      <c r="DC25" s="57">
        <v>0</v>
      </c>
      <c r="DD25" s="57">
        <v>0</v>
      </c>
      <c r="DE25" s="57">
        <v>0</v>
      </c>
      <c r="DF25" s="57">
        <v>0</v>
      </c>
      <c r="DG25" s="57">
        <v>0</v>
      </c>
      <c r="DH25" s="57">
        <v>0</v>
      </c>
      <c r="DI25" s="57">
        <v>0</v>
      </c>
      <c r="DJ25" s="57">
        <v>0</v>
      </c>
      <c r="DK25" s="57">
        <v>0</v>
      </c>
      <c r="DL25" s="56">
        <v>0</v>
      </c>
      <c r="DM25" s="51">
        <f>SUM(M25:$Z$25)</f>
        <v>7894.7</v>
      </c>
      <c r="DN25" s="51">
        <v>0</v>
      </c>
      <c r="DO25" s="57">
        <v>0</v>
      </c>
      <c r="DP25" s="57">
        <v>0</v>
      </c>
      <c r="DQ25" s="57">
        <v>0</v>
      </c>
      <c r="DR25" s="57">
        <v>0</v>
      </c>
      <c r="DS25" s="57">
        <v>0</v>
      </c>
      <c r="DT25" s="57">
        <v>0</v>
      </c>
      <c r="DU25" s="57">
        <v>0</v>
      </c>
      <c r="DV25" s="57">
        <v>0</v>
      </c>
      <c r="DW25" s="57">
        <v>0</v>
      </c>
      <c r="DX25" s="57">
        <v>0</v>
      </c>
      <c r="DY25" s="57">
        <v>0</v>
      </c>
      <c r="DZ25" s="57">
        <v>0</v>
      </c>
      <c r="EA25" s="57">
        <v>0</v>
      </c>
      <c r="EB25" s="57">
        <v>0</v>
      </c>
      <c r="EC25" s="57">
        <v>0</v>
      </c>
      <c r="ED25" s="57">
        <v>0</v>
      </c>
      <c r="EE25" s="57">
        <v>0</v>
      </c>
      <c r="EF25" s="57">
        <v>0</v>
      </c>
      <c r="EG25" s="57">
        <v>0</v>
      </c>
      <c r="EH25" s="57">
        <v>0</v>
      </c>
      <c r="EI25" s="57">
        <v>0</v>
      </c>
      <c r="EJ25" s="56">
        <v>0</v>
      </c>
      <c r="EK25" s="51">
        <f>SUM(O25:$Z$25)</f>
        <v>2706.42</v>
      </c>
      <c r="EL25" s="51">
        <v>0</v>
      </c>
    </row>
    <row r="26" spans="1:144" s="13" customFormat="1" ht="25" customHeight="1">
      <c r="A26" s="90" t="s">
        <v>6</v>
      </c>
      <c r="B26" s="80"/>
      <c r="C26" s="110" t="s">
        <v>42</v>
      </c>
      <c r="D26" s="109"/>
      <c r="E26" s="108">
        <v>870080.82</v>
      </c>
      <c r="F26" s="108">
        <v>444195.34</v>
      </c>
      <c r="G26" s="108">
        <v>1327196.27</v>
      </c>
      <c r="H26" s="108">
        <v>1255212.18</v>
      </c>
      <c r="I26" s="108">
        <v>443527.99</v>
      </c>
      <c r="J26" s="108">
        <v>431120.89</v>
      </c>
      <c r="K26" s="108">
        <v>440671.72</v>
      </c>
      <c r="L26" s="108">
        <v>730774.97</v>
      </c>
      <c r="M26" s="108">
        <v>404136.2</v>
      </c>
      <c r="N26" s="108">
        <v>386837.24</v>
      </c>
      <c r="O26" s="108">
        <v>330811.13</v>
      </c>
      <c r="P26" s="108">
        <v>346291.27</v>
      </c>
      <c r="Q26" s="108">
        <v>805290.27</v>
      </c>
      <c r="R26" s="108">
        <v>398940.66</v>
      </c>
      <c r="S26" s="108">
        <v>398061.75</v>
      </c>
      <c r="T26" s="108">
        <v>441584.67</v>
      </c>
      <c r="U26" s="108">
        <v>338246.01</v>
      </c>
      <c r="V26" s="108">
        <v>855172.81</v>
      </c>
      <c r="W26" s="108">
        <v>412892.93</v>
      </c>
      <c r="X26" s="108">
        <v>381651.5</v>
      </c>
      <c r="Z26" s="107">
        <v>351942.87</v>
      </c>
      <c r="AA26" s="109">
        <f>SUM(E26:$Z$26)-Y26</f>
        <v>11794639.489999998</v>
      </c>
      <c r="AB26" s="51">
        <v>0</v>
      </c>
      <c r="AC26" s="108">
        <v>380206.82</v>
      </c>
      <c r="AD26" s="108">
        <v>1086434.26</v>
      </c>
      <c r="AE26" s="108">
        <v>489606.27</v>
      </c>
      <c r="AF26" s="108">
        <v>503405.48</v>
      </c>
      <c r="AG26" s="108">
        <v>457766.66</v>
      </c>
      <c r="AH26" s="108">
        <v>368546.61</v>
      </c>
      <c r="AI26" s="108">
        <v>1264063.6200000001</v>
      </c>
      <c r="AJ26" s="108">
        <v>478169.99</v>
      </c>
      <c r="AK26" s="108">
        <v>400637.38</v>
      </c>
      <c r="AL26" s="108">
        <v>370050.97</v>
      </c>
      <c r="AM26" s="108">
        <v>331004.43</v>
      </c>
      <c r="AN26" s="108">
        <v>755499.55</v>
      </c>
      <c r="AO26" s="108">
        <v>854235.18</v>
      </c>
      <c r="AP26" s="108">
        <v>353280.77</v>
      </c>
      <c r="AQ26" s="108">
        <v>884940.95</v>
      </c>
      <c r="AR26" s="108">
        <v>368986.65</v>
      </c>
      <c r="AS26" s="108">
        <v>367805.22</v>
      </c>
      <c r="AT26" s="108">
        <v>360081.62</v>
      </c>
      <c r="AU26" s="109">
        <f>SUM(AC26:$AT$26)</f>
        <v>10074722.43</v>
      </c>
      <c r="AV26" s="108">
        <v>0</v>
      </c>
      <c r="AW26" s="108">
        <v>0</v>
      </c>
      <c r="AX26" s="108">
        <v>0</v>
      </c>
      <c r="AY26" s="108">
        <v>0</v>
      </c>
      <c r="AZ26" s="108">
        <v>0</v>
      </c>
      <c r="BA26" s="108">
        <v>0</v>
      </c>
      <c r="BB26" s="108">
        <v>0</v>
      </c>
      <c r="BC26" s="108">
        <v>0</v>
      </c>
      <c r="BD26" s="108">
        <v>0</v>
      </c>
      <c r="BE26" s="108">
        <v>0</v>
      </c>
      <c r="BF26" s="108">
        <v>0</v>
      </c>
      <c r="BG26" s="108">
        <v>0</v>
      </c>
      <c r="BH26" s="108">
        <v>0</v>
      </c>
      <c r="BI26" s="108">
        <v>0</v>
      </c>
      <c r="BJ26" s="108">
        <v>0</v>
      </c>
      <c r="BK26" s="108">
        <v>0</v>
      </c>
      <c r="BL26" s="108">
        <v>0</v>
      </c>
      <c r="BM26" s="108">
        <v>0</v>
      </c>
      <c r="BN26" s="108">
        <v>0</v>
      </c>
      <c r="BO26" s="108">
        <v>0</v>
      </c>
      <c r="BP26" s="108">
        <v>0</v>
      </c>
      <c r="BQ26" s="107">
        <v>0</v>
      </c>
      <c r="BR26" s="51" t="e">
        <f>SUM(#REF!)</f>
        <v>#REF!</v>
      </c>
      <c r="BS26" s="51">
        <v>0</v>
      </c>
      <c r="BT26" s="108">
        <v>0</v>
      </c>
      <c r="BU26" s="108">
        <v>0</v>
      </c>
      <c r="BV26" s="108">
        <v>0</v>
      </c>
      <c r="BW26" s="108">
        <v>0</v>
      </c>
      <c r="BX26" s="108">
        <v>0</v>
      </c>
      <c r="BY26" s="108">
        <v>0</v>
      </c>
      <c r="BZ26" s="108">
        <v>0</v>
      </c>
      <c r="CA26" s="108">
        <v>0</v>
      </c>
      <c r="CB26" s="108">
        <v>0</v>
      </c>
      <c r="CC26" s="108">
        <v>0</v>
      </c>
      <c r="CD26" s="108">
        <v>0</v>
      </c>
      <c r="CE26" s="108">
        <v>0</v>
      </c>
      <c r="CF26" s="108">
        <v>0</v>
      </c>
      <c r="CG26" s="108">
        <v>0</v>
      </c>
      <c r="CH26" s="108">
        <v>0</v>
      </c>
      <c r="CI26" s="108">
        <v>0</v>
      </c>
      <c r="CJ26" s="108">
        <v>0</v>
      </c>
      <c r="CK26" s="108">
        <v>0</v>
      </c>
      <c r="CL26" s="108">
        <v>0</v>
      </c>
      <c r="CM26" s="108">
        <v>0</v>
      </c>
      <c r="CN26" s="108">
        <v>0</v>
      </c>
      <c r="CO26" s="107">
        <v>0</v>
      </c>
      <c r="CP26" s="51">
        <f>SUM(K26:$Z$26)</f>
        <v>7023305.9999999991</v>
      </c>
      <c r="CQ26" s="51">
        <v>0</v>
      </c>
      <c r="CR26" s="108">
        <v>0</v>
      </c>
      <c r="CS26" s="108">
        <v>0</v>
      </c>
      <c r="CT26" s="108">
        <v>0</v>
      </c>
      <c r="CU26" s="108">
        <v>0</v>
      </c>
      <c r="CV26" s="108">
        <v>0</v>
      </c>
      <c r="CW26" s="108">
        <v>0</v>
      </c>
      <c r="CX26" s="108">
        <v>0</v>
      </c>
      <c r="CY26" s="108">
        <v>0</v>
      </c>
      <c r="CZ26" s="108">
        <v>0</v>
      </c>
      <c r="DA26" s="108">
        <v>0</v>
      </c>
      <c r="DB26" s="108">
        <v>0</v>
      </c>
      <c r="DC26" s="108">
        <v>0</v>
      </c>
      <c r="DD26" s="108">
        <v>0</v>
      </c>
      <c r="DE26" s="108">
        <v>0</v>
      </c>
      <c r="DF26" s="108">
        <v>0</v>
      </c>
      <c r="DG26" s="108">
        <v>0</v>
      </c>
      <c r="DH26" s="108">
        <v>0</v>
      </c>
      <c r="DI26" s="108">
        <v>0</v>
      </c>
      <c r="DJ26" s="108">
        <v>0</v>
      </c>
      <c r="DK26" s="108">
        <v>0</v>
      </c>
      <c r="DL26" s="107">
        <v>0</v>
      </c>
      <c r="DM26" s="51">
        <f>SUM(M26:$Z$26)</f>
        <v>5851859.3099999996</v>
      </c>
      <c r="DN26" s="51">
        <v>0</v>
      </c>
      <c r="DO26" s="108">
        <v>0</v>
      </c>
      <c r="DP26" s="108">
        <v>0</v>
      </c>
      <c r="DQ26" s="108">
        <v>0</v>
      </c>
      <c r="DR26" s="108">
        <v>0</v>
      </c>
      <c r="DS26" s="108">
        <v>0</v>
      </c>
      <c r="DT26" s="108">
        <v>0</v>
      </c>
      <c r="DU26" s="108">
        <v>0</v>
      </c>
      <c r="DV26" s="108">
        <v>0</v>
      </c>
      <c r="DW26" s="108">
        <v>0</v>
      </c>
      <c r="DX26" s="108">
        <v>0</v>
      </c>
      <c r="DY26" s="108">
        <v>0</v>
      </c>
      <c r="DZ26" s="108">
        <v>0</v>
      </c>
      <c r="EA26" s="108">
        <v>0</v>
      </c>
      <c r="EB26" s="108">
        <v>0</v>
      </c>
      <c r="EC26" s="108">
        <v>0</v>
      </c>
      <c r="ED26" s="108">
        <v>0</v>
      </c>
      <c r="EE26" s="108">
        <v>0</v>
      </c>
      <c r="EF26" s="108">
        <v>0</v>
      </c>
      <c r="EG26" s="108">
        <v>0</v>
      </c>
      <c r="EH26" s="108">
        <v>0</v>
      </c>
      <c r="EI26" s="108">
        <v>0</v>
      </c>
      <c r="EJ26" s="107">
        <v>0</v>
      </c>
      <c r="EK26" s="51">
        <f>SUM(O26:$Z$26)</f>
        <v>5060885.87</v>
      </c>
      <c r="EL26" s="51">
        <v>0</v>
      </c>
    </row>
    <row r="27" spans="1:144" s="13" customFormat="1" ht="25" customHeight="1">
      <c r="A27" s="90" t="s">
        <v>6</v>
      </c>
      <c r="B27" s="80"/>
      <c r="C27" s="110" t="s">
        <v>41</v>
      </c>
      <c r="D27" s="109"/>
      <c r="E27" s="108">
        <v>932788.64</v>
      </c>
      <c r="F27" s="108">
        <v>585246.01</v>
      </c>
      <c r="G27" s="108">
        <v>883051.93</v>
      </c>
      <c r="H27" s="108">
        <v>3094222.58</v>
      </c>
      <c r="I27" s="108">
        <v>707019.01</v>
      </c>
      <c r="J27" s="108">
        <v>545927.19999999995</v>
      </c>
      <c r="K27" s="108">
        <v>349490.75</v>
      </c>
      <c r="L27" s="108">
        <v>479312.16</v>
      </c>
      <c r="M27" s="108">
        <v>839574.36</v>
      </c>
      <c r="N27" s="108">
        <v>558325.73</v>
      </c>
      <c r="O27" s="108">
        <v>461598.07</v>
      </c>
      <c r="P27" s="108">
        <v>472986.58</v>
      </c>
      <c r="Q27" s="108">
        <v>449021.79</v>
      </c>
      <c r="R27" s="108">
        <v>887526.17</v>
      </c>
      <c r="S27" s="108">
        <v>534436.07999999996</v>
      </c>
      <c r="T27" s="108">
        <v>576898.78</v>
      </c>
      <c r="U27" s="108">
        <v>511058.48</v>
      </c>
      <c r="V27" s="108">
        <v>484820.4</v>
      </c>
      <c r="W27" s="108">
        <v>994011.74</v>
      </c>
      <c r="X27" s="108">
        <v>621533.43999999994</v>
      </c>
      <c r="Z27" s="107">
        <v>557091.79</v>
      </c>
      <c r="AA27" s="109">
        <f>SUM(E27:$Z$27)-Y27</f>
        <v>15525941.690000001</v>
      </c>
      <c r="AB27" s="51">
        <v>0</v>
      </c>
      <c r="AC27" s="108">
        <v>557946.82999999996</v>
      </c>
      <c r="AD27" s="108">
        <v>841455.13</v>
      </c>
      <c r="AE27" s="108">
        <v>1523301.04</v>
      </c>
      <c r="AF27" s="108">
        <v>961667.02</v>
      </c>
      <c r="AG27" s="108">
        <v>730015.54</v>
      </c>
      <c r="AH27" s="108">
        <v>687356.27</v>
      </c>
      <c r="AI27" s="108">
        <v>739274.31</v>
      </c>
      <c r="AJ27" s="108">
        <v>1146428.74</v>
      </c>
      <c r="AK27" s="108">
        <v>702499.88</v>
      </c>
      <c r="AL27" s="108">
        <v>632345.5</v>
      </c>
      <c r="AM27" s="108">
        <v>546362.81000000006</v>
      </c>
      <c r="AN27" s="108">
        <v>520002.24</v>
      </c>
      <c r="AO27" s="108">
        <v>880127.49</v>
      </c>
      <c r="AP27" s="108">
        <v>642928.93999999994</v>
      </c>
      <c r="AQ27" s="108">
        <v>611327.42000000004</v>
      </c>
      <c r="AR27" s="108">
        <v>1166050.98</v>
      </c>
      <c r="AS27" s="108">
        <v>676401.65</v>
      </c>
      <c r="AT27" s="108">
        <v>574613.38</v>
      </c>
      <c r="AU27" s="109">
        <f>SUM(AC27:$AT$27)</f>
        <v>14140105.170000004</v>
      </c>
      <c r="AV27" s="108">
        <v>0</v>
      </c>
      <c r="AW27" s="108">
        <v>0</v>
      </c>
      <c r="AX27" s="108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08">
        <v>0</v>
      </c>
      <c r="BJ27" s="108">
        <v>0</v>
      </c>
      <c r="BK27" s="108">
        <v>0</v>
      </c>
      <c r="BL27" s="108">
        <v>0</v>
      </c>
      <c r="BM27" s="108">
        <v>0</v>
      </c>
      <c r="BN27" s="108">
        <v>0</v>
      </c>
      <c r="BO27" s="108">
        <v>0</v>
      </c>
      <c r="BP27" s="108">
        <v>0</v>
      </c>
      <c r="BQ27" s="107">
        <v>0</v>
      </c>
      <c r="BR27" s="51" t="e">
        <f>SUM(#REF!)</f>
        <v>#REF!</v>
      </c>
      <c r="BS27" s="51">
        <v>0</v>
      </c>
      <c r="BT27" s="108">
        <v>0</v>
      </c>
      <c r="BU27" s="108">
        <v>0</v>
      </c>
      <c r="BV27" s="108">
        <v>0</v>
      </c>
      <c r="BW27" s="108">
        <v>0</v>
      </c>
      <c r="BX27" s="108">
        <v>0</v>
      </c>
      <c r="BY27" s="108">
        <v>0</v>
      </c>
      <c r="BZ27" s="108">
        <v>0</v>
      </c>
      <c r="CA27" s="108">
        <v>0</v>
      </c>
      <c r="CB27" s="108">
        <v>0</v>
      </c>
      <c r="CC27" s="108">
        <v>0</v>
      </c>
      <c r="CD27" s="108">
        <v>0</v>
      </c>
      <c r="CE27" s="108">
        <v>0</v>
      </c>
      <c r="CF27" s="108">
        <v>0</v>
      </c>
      <c r="CG27" s="108">
        <v>0</v>
      </c>
      <c r="CH27" s="108">
        <v>0</v>
      </c>
      <c r="CI27" s="108">
        <v>0</v>
      </c>
      <c r="CJ27" s="108">
        <v>0</v>
      </c>
      <c r="CK27" s="108">
        <v>0</v>
      </c>
      <c r="CL27" s="108">
        <v>0</v>
      </c>
      <c r="CM27" s="108">
        <v>0</v>
      </c>
      <c r="CN27" s="108">
        <v>0</v>
      </c>
      <c r="CO27" s="107">
        <v>0</v>
      </c>
      <c r="CP27" s="51">
        <f>SUM(K27:$Z$27)</f>
        <v>8777686.3200000003</v>
      </c>
      <c r="CQ27" s="51">
        <v>0</v>
      </c>
      <c r="CR27" s="108">
        <v>0</v>
      </c>
      <c r="CS27" s="108">
        <v>0</v>
      </c>
      <c r="CT27" s="108">
        <v>0</v>
      </c>
      <c r="CU27" s="108">
        <v>0</v>
      </c>
      <c r="CV27" s="108">
        <v>0</v>
      </c>
      <c r="CW27" s="108">
        <v>0</v>
      </c>
      <c r="CX27" s="108">
        <v>0</v>
      </c>
      <c r="CY27" s="108">
        <v>0</v>
      </c>
      <c r="CZ27" s="108">
        <v>0</v>
      </c>
      <c r="DA27" s="108">
        <v>0</v>
      </c>
      <c r="DB27" s="108">
        <v>0</v>
      </c>
      <c r="DC27" s="108">
        <v>0</v>
      </c>
      <c r="DD27" s="108">
        <v>0</v>
      </c>
      <c r="DE27" s="108">
        <v>0</v>
      </c>
      <c r="DF27" s="108">
        <v>0</v>
      </c>
      <c r="DG27" s="108">
        <v>0</v>
      </c>
      <c r="DH27" s="108">
        <v>0</v>
      </c>
      <c r="DI27" s="108">
        <v>0</v>
      </c>
      <c r="DJ27" s="108">
        <v>0</v>
      </c>
      <c r="DK27" s="108">
        <v>0</v>
      </c>
      <c r="DL27" s="107">
        <v>0</v>
      </c>
      <c r="DM27" s="51">
        <f>SUM(M27:$Z$27)</f>
        <v>7948883.4099999992</v>
      </c>
      <c r="DN27" s="51">
        <v>0</v>
      </c>
      <c r="DO27" s="108">
        <v>0</v>
      </c>
      <c r="DP27" s="108">
        <v>0</v>
      </c>
      <c r="DQ27" s="108">
        <v>0</v>
      </c>
      <c r="DR27" s="108">
        <v>0</v>
      </c>
      <c r="DS27" s="108">
        <v>0</v>
      </c>
      <c r="DT27" s="108">
        <v>0</v>
      </c>
      <c r="DU27" s="108">
        <v>0</v>
      </c>
      <c r="DV27" s="108">
        <v>0</v>
      </c>
      <c r="DW27" s="108">
        <v>0</v>
      </c>
      <c r="DX27" s="108">
        <v>0</v>
      </c>
      <c r="DY27" s="108">
        <v>0</v>
      </c>
      <c r="DZ27" s="108">
        <v>0</v>
      </c>
      <c r="EA27" s="108">
        <v>0</v>
      </c>
      <c r="EB27" s="108">
        <v>0</v>
      </c>
      <c r="EC27" s="108">
        <v>0</v>
      </c>
      <c r="ED27" s="108">
        <v>0</v>
      </c>
      <c r="EE27" s="108">
        <v>0</v>
      </c>
      <c r="EF27" s="108">
        <v>0</v>
      </c>
      <c r="EG27" s="108">
        <v>0</v>
      </c>
      <c r="EH27" s="108">
        <v>0</v>
      </c>
      <c r="EI27" s="108">
        <v>0</v>
      </c>
      <c r="EJ27" s="107">
        <v>0</v>
      </c>
      <c r="EK27" s="51">
        <f>SUM(O27:$Z$27)</f>
        <v>6550983.3199999994</v>
      </c>
      <c r="EL27" s="51">
        <v>0</v>
      </c>
    </row>
    <row r="28" spans="1:144" s="13" customFormat="1" ht="25" customHeight="1">
      <c r="A28" s="90" t="s">
        <v>6</v>
      </c>
      <c r="B28" s="80"/>
      <c r="C28" s="110" t="s">
        <v>40</v>
      </c>
      <c r="D28" s="109"/>
      <c r="E28" s="108">
        <v>1808796.1</v>
      </c>
      <c r="F28" s="108">
        <v>2564030.89</v>
      </c>
      <c r="G28" s="108">
        <v>3461879.1</v>
      </c>
      <c r="H28" s="108">
        <v>4062387.17</v>
      </c>
      <c r="I28" s="108">
        <v>1781207.34</v>
      </c>
      <c r="J28" s="108">
        <v>1845585.19</v>
      </c>
      <c r="K28" s="108">
        <v>2604845.71</v>
      </c>
      <c r="L28" s="108">
        <v>2185528.2599999998</v>
      </c>
      <c r="M28" s="108">
        <v>1753340.81</v>
      </c>
      <c r="N28" s="108">
        <v>1789149.62</v>
      </c>
      <c r="O28" s="108">
        <v>2144003.6800000002</v>
      </c>
      <c r="P28" s="108">
        <v>1673060.7</v>
      </c>
      <c r="Q28" s="108">
        <v>4133095.66</v>
      </c>
      <c r="R28" s="108">
        <v>3233894.5</v>
      </c>
      <c r="S28" s="108">
        <v>3229597.32</v>
      </c>
      <c r="T28" s="108">
        <v>1814877.6</v>
      </c>
      <c r="U28" s="108">
        <v>7915441.6600000001</v>
      </c>
      <c r="V28" s="108">
        <v>4046373.11</v>
      </c>
      <c r="W28" s="108">
        <v>3603335.5</v>
      </c>
      <c r="X28" s="108">
        <v>3039595.75</v>
      </c>
      <c r="Z28" s="107">
        <v>1616088.03</v>
      </c>
      <c r="AA28" s="109">
        <f>SUM(E$28:$Z28)-Y28</f>
        <v>60306113.700000003</v>
      </c>
      <c r="AB28" s="51">
        <v>0</v>
      </c>
      <c r="AC28" s="108">
        <v>2096430.54</v>
      </c>
      <c r="AD28" s="108">
        <v>3677110.31</v>
      </c>
      <c r="AE28" s="108">
        <v>2531110.2000000002</v>
      </c>
      <c r="AF28" s="108">
        <v>2305604.73</v>
      </c>
      <c r="AG28" s="108">
        <v>1973651.29</v>
      </c>
      <c r="AH28" s="108">
        <v>2907571.86</v>
      </c>
      <c r="AI28" s="108">
        <v>4389822.3600000003</v>
      </c>
      <c r="AJ28" s="108">
        <v>2971908.41</v>
      </c>
      <c r="AK28" s="108">
        <v>2892437.27</v>
      </c>
      <c r="AL28" s="108">
        <v>2352853.0099999998</v>
      </c>
      <c r="AM28" s="108">
        <v>3007931.02</v>
      </c>
      <c r="AN28" s="108">
        <v>4379768.46</v>
      </c>
      <c r="AO28" s="108">
        <v>3575896.3</v>
      </c>
      <c r="AP28" s="108">
        <v>4843854.68</v>
      </c>
      <c r="AQ28" s="108">
        <v>4800914.91</v>
      </c>
      <c r="AR28" s="108">
        <v>7285799.5</v>
      </c>
      <c r="AS28" s="108">
        <v>3888890.22</v>
      </c>
      <c r="AT28" s="108">
        <v>3530878.15</v>
      </c>
      <c r="AU28" s="109">
        <f>SUM(AC28:$AT$28)</f>
        <v>63412433.219999991</v>
      </c>
      <c r="AV28" s="108">
        <v>0</v>
      </c>
      <c r="AW28" s="108">
        <v>0</v>
      </c>
      <c r="AX28" s="108">
        <v>0</v>
      </c>
      <c r="AY28" s="108">
        <v>0</v>
      </c>
      <c r="AZ28" s="108">
        <v>0</v>
      </c>
      <c r="BA28" s="108"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  <c r="BG28" s="108">
        <v>0</v>
      </c>
      <c r="BH28" s="108">
        <v>0</v>
      </c>
      <c r="BI28" s="108">
        <v>0</v>
      </c>
      <c r="BJ28" s="108">
        <v>0</v>
      </c>
      <c r="BK28" s="108">
        <v>0</v>
      </c>
      <c r="BL28" s="108">
        <v>0</v>
      </c>
      <c r="BM28" s="108">
        <v>0</v>
      </c>
      <c r="BN28" s="108">
        <v>0</v>
      </c>
      <c r="BO28" s="108">
        <v>0</v>
      </c>
      <c r="BP28" s="108">
        <v>0</v>
      </c>
      <c r="BQ28" s="107">
        <v>0</v>
      </c>
      <c r="BR28" s="51" t="e">
        <f>SUM(#REF!)</f>
        <v>#REF!</v>
      </c>
      <c r="BS28" s="51">
        <v>0</v>
      </c>
      <c r="BT28" s="108">
        <v>0</v>
      </c>
      <c r="BU28" s="108">
        <v>0</v>
      </c>
      <c r="BV28" s="108">
        <v>0</v>
      </c>
      <c r="BW28" s="108">
        <v>0</v>
      </c>
      <c r="BX28" s="108">
        <v>0</v>
      </c>
      <c r="BY28" s="108">
        <v>0</v>
      </c>
      <c r="BZ28" s="108">
        <v>0</v>
      </c>
      <c r="CA28" s="108">
        <v>0</v>
      </c>
      <c r="CB28" s="108">
        <v>0</v>
      </c>
      <c r="CC28" s="108">
        <v>0</v>
      </c>
      <c r="CD28" s="108">
        <v>0</v>
      </c>
      <c r="CE28" s="108">
        <v>0</v>
      </c>
      <c r="CF28" s="108">
        <v>0</v>
      </c>
      <c r="CG28" s="108">
        <v>0</v>
      </c>
      <c r="CH28" s="108">
        <v>0</v>
      </c>
      <c r="CI28" s="108">
        <v>0</v>
      </c>
      <c r="CJ28" s="108">
        <v>0</v>
      </c>
      <c r="CK28" s="108">
        <v>0</v>
      </c>
      <c r="CL28" s="108">
        <v>0</v>
      </c>
      <c r="CM28" s="108">
        <v>0</v>
      </c>
      <c r="CN28" s="108">
        <v>0</v>
      </c>
      <c r="CO28" s="107">
        <v>0</v>
      </c>
      <c r="CP28" s="51">
        <f>SUM(K$28:$Z28)</f>
        <v>44782227.910000004</v>
      </c>
      <c r="CQ28" s="51">
        <v>0</v>
      </c>
      <c r="CR28" s="108">
        <v>0</v>
      </c>
      <c r="CS28" s="108">
        <v>0</v>
      </c>
      <c r="CT28" s="108">
        <v>0</v>
      </c>
      <c r="CU28" s="108">
        <v>0</v>
      </c>
      <c r="CV28" s="108">
        <v>0</v>
      </c>
      <c r="CW28" s="108">
        <v>0</v>
      </c>
      <c r="CX28" s="108">
        <v>0</v>
      </c>
      <c r="CY28" s="108">
        <v>0</v>
      </c>
      <c r="CZ28" s="108">
        <v>0</v>
      </c>
      <c r="DA28" s="108">
        <v>0</v>
      </c>
      <c r="DB28" s="108">
        <v>0</v>
      </c>
      <c r="DC28" s="108">
        <v>0</v>
      </c>
      <c r="DD28" s="108">
        <v>0</v>
      </c>
      <c r="DE28" s="108">
        <v>0</v>
      </c>
      <c r="DF28" s="108">
        <v>0</v>
      </c>
      <c r="DG28" s="108">
        <v>0</v>
      </c>
      <c r="DH28" s="108">
        <v>0</v>
      </c>
      <c r="DI28" s="108">
        <v>0</v>
      </c>
      <c r="DJ28" s="108">
        <v>0</v>
      </c>
      <c r="DK28" s="108">
        <v>0</v>
      </c>
      <c r="DL28" s="107">
        <v>0</v>
      </c>
      <c r="DM28" s="51">
        <f>SUM(M$28:$Z28)</f>
        <v>39991853.939999998</v>
      </c>
      <c r="DN28" s="51">
        <v>0</v>
      </c>
      <c r="DO28" s="108">
        <v>0</v>
      </c>
      <c r="DP28" s="108">
        <v>0</v>
      </c>
      <c r="DQ28" s="108">
        <v>0</v>
      </c>
      <c r="DR28" s="108">
        <v>0</v>
      </c>
      <c r="DS28" s="108">
        <v>0</v>
      </c>
      <c r="DT28" s="108">
        <v>0</v>
      </c>
      <c r="DU28" s="108">
        <v>0</v>
      </c>
      <c r="DV28" s="108">
        <v>0</v>
      </c>
      <c r="DW28" s="108">
        <v>0</v>
      </c>
      <c r="DX28" s="108">
        <v>0</v>
      </c>
      <c r="DY28" s="108">
        <v>0</v>
      </c>
      <c r="DZ28" s="108">
        <v>0</v>
      </c>
      <c r="EA28" s="108">
        <v>0</v>
      </c>
      <c r="EB28" s="108">
        <v>0</v>
      </c>
      <c r="EC28" s="108">
        <v>0</v>
      </c>
      <c r="ED28" s="108">
        <v>0</v>
      </c>
      <c r="EE28" s="108">
        <v>0</v>
      </c>
      <c r="EF28" s="108">
        <v>0</v>
      </c>
      <c r="EG28" s="108">
        <v>0</v>
      </c>
      <c r="EH28" s="108">
        <v>0</v>
      </c>
      <c r="EI28" s="108">
        <v>0</v>
      </c>
      <c r="EJ28" s="107">
        <v>0</v>
      </c>
      <c r="EK28" s="51">
        <f>SUM(O$28:$Z28)</f>
        <v>36449363.509999998</v>
      </c>
      <c r="EL28" s="51">
        <v>0</v>
      </c>
    </row>
    <row r="29" spans="1:144" s="13" customFormat="1" ht="25" customHeight="1">
      <c r="A29" s="90" t="s">
        <v>6</v>
      </c>
      <c r="B29" s="80"/>
      <c r="C29" s="103" t="s">
        <v>39</v>
      </c>
      <c r="D29" s="58"/>
      <c r="E29" s="57">
        <v>10092509.25</v>
      </c>
      <c r="F29" s="57">
        <v>4786880.28</v>
      </c>
      <c r="G29" s="57">
        <v>6634902.7300000004</v>
      </c>
      <c r="H29" s="57">
        <v>5985275.4400000004</v>
      </c>
      <c r="I29" s="57">
        <v>8177850.9000000004</v>
      </c>
      <c r="J29" s="57">
        <v>3835117.56</v>
      </c>
      <c r="K29" s="57">
        <v>3544440.69</v>
      </c>
      <c r="L29" s="57">
        <v>3606903.27</v>
      </c>
      <c r="M29" s="57">
        <v>5205890.05</v>
      </c>
      <c r="N29" s="57">
        <v>4191628.15</v>
      </c>
      <c r="O29" s="57">
        <v>3133687.67</v>
      </c>
      <c r="P29" s="57">
        <v>3081880.32</v>
      </c>
      <c r="Q29" s="57">
        <v>5293843.17</v>
      </c>
      <c r="R29" s="57">
        <v>6519427.6500000004</v>
      </c>
      <c r="S29" s="57">
        <v>6188076.8300000001</v>
      </c>
      <c r="T29" s="57">
        <v>5544602.75</v>
      </c>
      <c r="U29" s="57">
        <v>10229999.939999999</v>
      </c>
      <c r="V29" s="57">
        <v>16644839.630000001</v>
      </c>
      <c r="W29" s="57">
        <v>13081244.99</v>
      </c>
      <c r="X29" s="57">
        <v>13897934.300000001</v>
      </c>
      <c r="Z29" s="56">
        <v>10518924.5</v>
      </c>
      <c r="AA29" s="58">
        <f>SUM(E$29:$Z29)-Y29</f>
        <v>150195860.06999999</v>
      </c>
      <c r="AB29" s="51">
        <v>0</v>
      </c>
      <c r="AC29" s="57">
        <v>9719464.6099999994</v>
      </c>
      <c r="AD29" s="57">
        <v>4507579.45</v>
      </c>
      <c r="AE29" s="57">
        <v>8871228.4499999993</v>
      </c>
      <c r="AF29" s="57">
        <v>5818144.0300000003</v>
      </c>
      <c r="AG29" s="57">
        <v>5573911.54</v>
      </c>
      <c r="AH29" s="57">
        <v>4759900.75</v>
      </c>
      <c r="AI29" s="57">
        <v>4249149.62</v>
      </c>
      <c r="AJ29" s="57">
        <v>7645259.8200000003</v>
      </c>
      <c r="AK29" s="57">
        <v>5831893.7999999998</v>
      </c>
      <c r="AL29" s="57">
        <v>4158010.79</v>
      </c>
      <c r="AM29" s="57">
        <v>6066197.7800000003</v>
      </c>
      <c r="AN29" s="57">
        <v>6851138.96</v>
      </c>
      <c r="AO29" s="57">
        <v>11423484.42</v>
      </c>
      <c r="AP29" s="57">
        <v>8180973.4900000002</v>
      </c>
      <c r="AQ29" s="57">
        <v>13550761.93</v>
      </c>
      <c r="AR29" s="57">
        <v>13685282.93</v>
      </c>
      <c r="AS29" s="57">
        <v>17039104.050000001</v>
      </c>
      <c r="AT29" s="57">
        <v>17313056.129999999</v>
      </c>
      <c r="AU29" s="58">
        <f>SUM(AC29:$AT$29)</f>
        <v>155244542.54999998</v>
      </c>
      <c r="AV29" s="57">
        <v>0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0</v>
      </c>
      <c r="BF29" s="57">
        <v>0</v>
      </c>
      <c r="BG29" s="57">
        <v>0</v>
      </c>
      <c r="BH29" s="57">
        <v>0</v>
      </c>
      <c r="BI29" s="57">
        <v>0</v>
      </c>
      <c r="BJ29" s="57">
        <v>0</v>
      </c>
      <c r="BK29" s="57">
        <v>0</v>
      </c>
      <c r="BL29" s="57">
        <v>0</v>
      </c>
      <c r="BM29" s="57">
        <v>0</v>
      </c>
      <c r="BN29" s="57">
        <v>0</v>
      </c>
      <c r="BO29" s="57">
        <v>0</v>
      </c>
      <c r="BP29" s="57">
        <v>0</v>
      </c>
      <c r="BQ29" s="56">
        <v>0</v>
      </c>
      <c r="BR29" s="51" t="e">
        <f>SUM(#REF!)</f>
        <v>#REF!</v>
      </c>
      <c r="BS29" s="51">
        <v>0</v>
      </c>
      <c r="BT29" s="57">
        <v>0</v>
      </c>
      <c r="BU29" s="57">
        <v>0</v>
      </c>
      <c r="BV29" s="57">
        <v>0</v>
      </c>
      <c r="BW29" s="57">
        <v>0</v>
      </c>
      <c r="BX29" s="57">
        <v>0</v>
      </c>
      <c r="BY29" s="57">
        <v>0</v>
      </c>
      <c r="BZ29" s="57">
        <v>0</v>
      </c>
      <c r="CA29" s="57">
        <v>0</v>
      </c>
      <c r="CB29" s="57">
        <v>0</v>
      </c>
      <c r="CC29" s="57">
        <v>0</v>
      </c>
      <c r="CD29" s="57">
        <v>0</v>
      </c>
      <c r="CE29" s="57">
        <v>0</v>
      </c>
      <c r="CF29" s="57">
        <v>0</v>
      </c>
      <c r="CG29" s="57">
        <v>0</v>
      </c>
      <c r="CH29" s="57">
        <v>0</v>
      </c>
      <c r="CI29" s="57">
        <v>0</v>
      </c>
      <c r="CJ29" s="57">
        <v>0</v>
      </c>
      <c r="CK29" s="57">
        <v>0</v>
      </c>
      <c r="CL29" s="57">
        <v>0</v>
      </c>
      <c r="CM29" s="57">
        <v>0</v>
      </c>
      <c r="CN29" s="57">
        <v>0</v>
      </c>
      <c r="CO29" s="56">
        <v>0</v>
      </c>
      <c r="CP29" s="51">
        <f>SUM(K$29:$Z29)</f>
        <v>110683323.90999998</v>
      </c>
      <c r="CQ29" s="51">
        <v>0</v>
      </c>
      <c r="CR29" s="57">
        <v>0</v>
      </c>
      <c r="CS29" s="57">
        <v>0</v>
      </c>
      <c r="CT29" s="57">
        <v>0</v>
      </c>
      <c r="CU29" s="57">
        <v>0</v>
      </c>
      <c r="CV29" s="57">
        <v>0</v>
      </c>
      <c r="CW29" s="57">
        <v>0</v>
      </c>
      <c r="CX29" s="57">
        <v>0</v>
      </c>
      <c r="CY29" s="57">
        <v>0</v>
      </c>
      <c r="CZ29" s="57">
        <v>0</v>
      </c>
      <c r="DA29" s="57">
        <v>0</v>
      </c>
      <c r="DB29" s="57">
        <v>0</v>
      </c>
      <c r="DC29" s="57">
        <v>0</v>
      </c>
      <c r="DD29" s="57">
        <v>0</v>
      </c>
      <c r="DE29" s="57">
        <v>0</v>
      </c>
      <c r="DF29" s="57">
        <v>0</v>
      </c>
      <c r="DG29" s="57">
        <v>0</v>
      </c>
      <c r="DH29" s="57">
        <v>0</v>
      </c>
      <c r="DI29" s="57">
        <v>0</v>
      </c>
      <c r="DJ29" s="57">
        <v>0</v>
      </c>
      <c r="DK29" s="57">
        <v>0</v>
      </c>
      <c r="DL29" s="56">
        <v>0</v>
      </c>
      <c r="DM29" s="51">
        <f>SUM(M$29:$Z29)</f>
        <v>103531979.94999999</v>
      </c>
      <c r="DN29" s="51">
        <v>0</v>
      </c>
      <c r="DO29" s="57">
        <v>0</v>
      </c>
      <c r="DP29" s="57">
        <v>0</v>
      </c>
      <c r="DQ29" s="57">
        <v>0</v>
      </c>
      <c r="DR29" s="57">
        <v>0</v>
      </c>
      <c r="DS29" s="57">
        <v>0</v>
      </c>
      <c r="DT29" s="57">
        <v>0</v>
      </c>
      <c r="DU29" s="57">
        <v>0</v>
      </c>
      <c r="DV29" s="57">
        <v>0</v>
      </c>
      <c r="DW29" s="57">
        <v>0</v>
      </c>
      <c r="DX29" s="57">
        <v>0</v>
      </c>
      <c r="DY29" s="57">
        <v>0</v>
      </c>
      <c r="DZ29" s="57">
        <v>0</v>
      </c>
      <c r="EA29" s="57">
        <v>0</v>
      </c>
      <c r="EB29" s="57">
        <v>0</v>
      </c>
      <c r="EC29" s="57">
        <v>0</v>
      </c>
      <c r="ED29" s="57">
        <v>0</v>
      </c>
      <c r="EE29" s="57">
        <v>0</v>
      </c>
      <c r="EF29" s="57">
        <v>0</v>
      </c>
      <c r="EG29" s="57">
        <v>0</v>
      </c>
      <c r="EH29" s="57">
        <v>0</v>
      </c>
      <c r="EI29" s="57">
        <v>0</v>
      </c>
      <c r="EJ29" s="56">
        <v>0</v>
      </c>
      <c r="EK29" s="51">
        <f>SUM(O$29:$Z29)</f>
        <v>94134461.75</v>
      </c>
      <c r="EL29" s="51">
        <v>0</v>
      </c>
    </row>
    <row r="30" spans="1:144" s="13" customFormat="1" ht="25" customHeight="1">
      <c r="A30" s="90" t="s">
        <v>6</v>
      </c>
      <c r="B30" s="80"/>
      <c r="C30" s="103" t="s">
        <v>38</v>
      </c>
      <c r="D30" s="58"/>
      <c r="E30" s="57">
        <v>10869103.939999999</v>
      </c>
      <c r="F30" s="57">
        <v>5927254.6699999999</v>
      </c>
      <c r="G30" s="57">
        <v>2754977.42</v>
      </c>
      <c r="H30" s="57">
        <v>6600722.9199999999</v>
      </c>
      <c r="I30" s="57">
        <v>1453828.04</v>
      </c>
      <c r="J30" s="57">
        <v>1395147.3</v>
      </c>
      <c r="K30" s="57">
        <v>1304419.82</v>
      </c>
      <c r="L30" s="57">
        <v>2019729.59</v>
      </c>
      <c r="M30" s="57">
        <v>1377714.01</v>
      </c>
      <c r="N30" s="57">
        <v>1387747.66</v>
      </c>
      <c r="O30" s="57">
        <v>1370835.02</v>
      </c>
      <c r="P30" s="57">
        <v>1303298.58</v>
      </c>
      <c r="Q30" s="57">
        <v>1687727.12</v>
      </c>
      <c r="R30" s="57">
        <v>1378566.4</v>
      </c>
      <c r="S30" s="57">
        <v>999960.49</v>
      </c>
      <c r="T30" s="57">
        <v>2295304.66</v>
      </c>
      <c r="U30" s="57">
        <v>1821032.39</v>
      </c>
      <c r="V30" s="57">
        <v>2860444.37</v>
      </c>
      <c r="W30" s="57">
        <v>9221655.1999999993</v>
      </c>
      <c r="X30" s="57">
        <v>8600198.5399999991</v>
      </c>
      <c r="Z30" s="56">
        <v>10655690.449999999</v>
      </c>
      <c r="AA30" s="58">
        <f>SUM(E$30:$Z30)-Y30</f>
        <v>77285358.589999989</v>
      </c>
      <c r="AB30" s="51">
        <v>0</v>
      </c>
      <c r="AC30" s="57">
        <v>10205117.130000001</v>
      </c>
      <c r="AD30" s="57">
        <v>8382934.71</v>
      </c>
      <c r="AE30" s="57">
        <v>3566162.43</v>
      </c>
      <c r="AF30" s="57">
        <v>4414076.04</v>
      </c>
      <c r="AG30" s="57">
        <v>1926385.71</v>
      </c>
      <c r="AH30" s="57">
        <v>1851262.69</v>
      </c>
      <c r="AI30" s="57">
        <v>1479902.59</v>
      </c>
      <c r="AJ30" s="57">
        <v>1690682.37</v>
      </c>
      <c r="AK30" s="57">
        <v>1227882.8600000001</v>
      </c>
      <c r="AL30" s="57">
        <v>1734084.29</v>
      </c>
      <c r="AM30" s="57">
        <v>1755488.4</v>
      </c>
      <c r="AN30" s="57">
        <v>2042675.52</v>
      </c>
      <c r="AO30" s="57">
        <v>1914830.25</v>
      </c>
      <c r="AP30" s="57">
        <v>1437826</v>
      </c>
      <c r="AQ30" s="57">
        <v>2157303.06</v>
      </c>
      <c r="AR30" s="57">
        <v>5456655.7199999997</v>
      </c>
      <c r="AS30" s="57">
        <v>9143510.3100000005</v>
      </c>
      <c r="AT30" s="57">
        <v>14801943.26</v>
      </c>
      <c r="AU30" s="58">
        <f>SUM(AC30:$AT$30)</f>
        <v>75188723.340000004</v>
      </c>
      <c r="AV30" s="57">
        <v>0</v>
      </c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0</v>
      </c>
      <c r="BI30" s="57">
        <v>0</v>
      </c>
      <c r="BJ30" s="57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7">
        <v>0</v>
      </c>
      <c r="BQ30" s="56">
        <v>0</v>
      </c>
      <c r="BR30" s="51" t="e">
        <f>SUM(#REF!)</f>
        <v>#REF!</v>
      </c>
      <c r="BS30" s="51">
        <v>0</v>
      </c>
      <c r="BT30" s="57">
        <v>0</v>
      </c>
      <c r="BU30" s="57">
        <v>0</v>
      </c>
      <c r="BV30" s="57">
        <v>0</v>
      </c>
      <c r="BW30" s="57">
        <v>0</v>
      </c>
      <c r="BX30" s="57">
        <v>0</v>
      </c>
      <c r="BY30" s="57">
        <v>0</v>
      </c>
      <c r="BZ30" s="57">
        <v>0</v>
      </c>
      <c r="CA30" s="57">
        <v>0</v>
      </c>
      <c r="CB30" s="57">
        <v>0</v>
      </c>
      <c r="CC30" s="57">
        <v>0</v>
      </c>
      <c r="CD30" s="57">
        <v>0</v>
      </c>
      <c r="CE30" s="57">
        <v>0</v>
      </c>
      <c r="CF30" s="57">
        <v>0</v>
      </c>
      <c r="CG30" s="57">
        <v>0</v>
      </c>
      <c r="CH30" s="57">
        <v>0</v>
      </c>
      <c r="CI30" s="57">
        <v>0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56">
        <v>0</v>
      </c>
      <c r="CP30" s="51">
        <f>SUM(K$30:$Z30)</f>
        <v>48284324.299999997</v>
      </c>
      <c r="CQ30" s="51">
        <v>0</v>
      </c>
      <c r="CR30" s="57">
        <v>0</v>
      </c>
      <c r="CS30" s="57">
        <v>0</v>
      </c>
      <c r="CT30" s="57">
        <v>0</v>
      </c>
      <c r="CU30" s="57">
        <v>0</v>
      </c>
      <c r="CV30" s="57">
        <v>0</v>
      </c>
      <c r="CW30" s="57">
        <v>0</v>
      </c>
      <c r="CX30" s="57">
        <v>0</v>
      </c>
      <c r="CY30" s="57">
        <v>0</v>
      </c>
      <c r="CZ30" s="57">
        <v>0</v>
      </c>
      <c r="DA30" s="57">
        <v>0</v>
      </c>
      <c r="DB30" s="57">
        <v>0</v>
      </c>
      <c r="DC30" s="57">
        <v>0</v>
      </c>
      <c r="DD30" s="57">
        <v>0</v>
      </c>
      <c r="DE30" s="57">
        <v>0</v>
      </c>
      <c r="DF30" s="57">
        <v>0</v>
      </c>
      <c r="DG30" s="57">
        <v>0</v>
      </c>
      <c r="DH30" s="57">
        <v>0</v>
      </c>
      <c r="DI30" s="57">
        <v>0</v>
      </c>
      <c r="DJ30" s="57">
        <v>0</v>
      </c>
      <c r="DK30" s="57">
        <v>0</v>
      </c>
      <c r="DL30" s="56">
        <v>0</v>
      </c>
      <c r="DM30" s="51">
        <f>SUM(M$30:$Z30)</f>
        <v>44960174.890000001</v>
      </c>
      <c r="DN30" s="51">
        <v>0</v>
      </c>
      <c r="DO30" s="57">
        <v>0</v>
      </c>
      <c r="DP30" s="57">
        <v>0</v>
      </c>
      <c r="DQ30" s="57">
        <v>0</v>
      </c>
      <c r="DR30" s="57">
        <v>0</v>
      </c>
      <c r="DS30" s="57">
        <v>0</v>
      </c>
      <c r="DT30" s="57">
        <v>0</v>
      </c>
      <c r="DU30" s="57">
        <v>0</v>
      </c>
      <c r="DV30" s="57">
        <v>0</v>
      </c>
      <c r="DW30" s="57">
        <v>0</v>
      </c>
      <c r="DX30" s="57">
        <v>0</v>
      </c>
      <c r="DY30" s="57">
        <v>0</v>
      </c>
      <c r="DZ30" s="57">
        <v>0</v>
      </c>
      <c r="EA30" s="57">
        <v>0</v>
      </c>
      <c r="EB30" s="57">
        <v>0</v>
      </c>
      <c r="EC30" s="57">
        <v>0</v>
      </c>
      <c r="ED30" s="57">
        <v>0</v>
      </c>
      <c r="EE30" s="57">
        <v>0</v>
      </c>
      <c r="EF30" s="57">
        <v>0</v>
      </c>
      <c r="EG30" s="57">
        <v>0</v>
      </c>
      <c r="EH30" s="57">
        <v>0</v>
      </c>
      <c r="EI30" s="57">
        <v>0</v>
      </c>
      <c r="EJ30" s="56">
        <v>0</v>
      </c>
      <c r="EK30" s="51">
        <f>SUM(O$30:$Z30)</f>
        <v>42194713.219999999</v>
      </c>
      <c r="EL30" s="51">
        <v>0</v>
      </c>
    </row>
    <row r="31" spans="1:144" s="13" customFormat="1" ht="25" customHeight="1">
      <c r="A31" s="90" t="s">
        <v>6</v>
      </c>
      <c r="B31" s="80"/>
      <c r="C31" s="103" t="s">
        <v>37</v>
      </c>
      <c r="D31" s="58"/>
      <c r="E31" s="57">
        <v>84789.91</v>
      </c>
      <c r="F31" s="57">
        <v>53394.64</v>
      </c>
      <c r="G31" s="57">
        <v>68809.679999999993</v>
      </c>
      <c r="H31" s="57">
        <v>310896.8</v>
      </c>
      <c r="I31" s="57">
        <v>59369.21</v>
      </c>
      <c r="J31" s="57">
        <v>39384.089999999997</v>
      </c>
      <c r="K31" s="57">
        <v>29469.7</v>
      </c>
      <c r="L31" s="57">
        <v>22092.2</v>
      </c>
      <c r="M31" s="57">
        <v>24118.25</v>
      </c>
      <c r="N31" s="57">
        <v>71323.960000000006</v>
      </c>
      <c r="O31" s="57">
        <v>18240.830000000002</v>
      </c>
      <c r="P31" s="57">
        <v>17775.2</v>
      </c>
      <c r="Q31" s="57">
        <v>18350.5</v>
      </c>
      <c r="R31" s="57">
        <v>34503.949999999997</v>
      </c>
      <c r="S31" s="57">
        <v>25978.2</v>
      </c>
      <c r="T31" s="57">
        <v>23104.06</v>
      </c>
      <c r="U31" s="57">
        <v>18632.900000000001</v>
      </c>
      <c r="V31" s="57">
        <v>14914.15</v>
      </c>
      <c r="W31" s="57">
        <v>35832.410000000003</v>
      </c>
      <c r="X31" s="57">
        <v>35825.01</v>
      </c>
      <c r="Z31" s="56">
        <v>32279.88</v>
      </c>
      <c r="AA31" s="58">
        <f>SUM(E$31:$Z31)-Y31</f>
        <v>1039085.5299999998</v>
      </c>
      <c r="AB31" s="51">
        <v>0</v>
      </c>
      <c r="AC31" s="57">
        <v>61137.83</v>
      </c>
      <c r="AD31" s="57">
        <v>79528.350000000006</v>
      </c>
      <c r="AE31" s="57">
        <v>145563.07</v>
      </c>
      <c r="AF31" s="57">
        <v>92032.23</v>
      </c>
      <c r="AG31" s="57">
        <v>70476.94</v>
      </c>
      <c r="AH31" s="57">
        <v>70619.08</v>
      </c>
      <c r="AI31" s="57">
        <v>72274.820000000007</v>
      </c>
      <c r="AJ31" s="57">
        <v>93129.73</v>
      </c>
      <c r="AK31" s="57">
        <v>65627.009999999995</v>
      </c>
      <c r="AL31" s="57">
        <v>51598.29</v>
      </c>
      <c r="AM31" s="57">
        <v>34867.599999999999</v>
      </c>
      <c r="AN31" s="57">
        <v>35053.699999999997</v>
      </c>
      <c r="AO31" s="57">
        <v>69861.600000000006</v>
      </c>
      <c r="AP31" s="57">
        <v>83839.789999999994</v>
      </c>
      <c r="AQ31" s="57">
        <v>43760.77</v>
      </c>
      <c r="AR31" s="57">
        <v>81131.92</v>
      </c>
      <c r="AS31" s="57">
        <v>53703.42</v>
      </c>
      <c r="AT31" s="57">
        <v>59725.8</v>
      </c>
      <c r="AU31" s="58">
        <f>SUM(AC31:$AT$31)</f>
        <v>1263931.95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6">
        <v>0</v>
      </c>
      <c r="BR31" s="51" t="e">
        <f>SUM(#REF!)</f>
        <v>#REF!</v>
      </c>
      <c r="BS31" s="51">
        <v>0</v>
      </c>
      <c r="BT31" s="57">
        <v>0</v>
      </c>
      <c r="BU31" s="57">
        <v>0</v>
      </c>
      <c r="BV31" s="57">
        <v>0</v>
      </c>
      <c r="BW31" s="57">
        <v>0</v>
      </c>
      <c r="BX31" s="57">
        <v>0</v>
      </c>
      <c r="BY31" s="57">
        <v>0</v>
      </c>
      <c r="BZ31" s="57">
        <v>0</v>
      </c>
      <c r="CA31" s="57">
        <v>0</v>
      </c>
      <c r="CB31" s="57">
        <v>0</v>
      </c>
      <c r="CC31" s="57">
        <v>0</v>
      </c>
      <c r="CD31" s="57">
        <v>0</v>
      </c>
      <c r="CE31" s="57">
        <v>0</v>
      </c>
      <c r="CF31" s="57">
        <v>0</v>
      </c>
      <c r="CG31" s="57">
        <v>0</v>
      </c>
      <c r="CH31" s="57">
        <v>0</v>
      </c>
      <c r="CI31" s="57">
        <v>0</v>
      </c>
      <c r="CJ31" s="57">
        <v>0</v>
      </c>
      <c r="CK31" s="57">
        <v>0</v>
      </c>
      <c r="CL31" s="57">
        <v>0</v>
      </c>
      <c r="CM31" s="57">
        <v>0</v>
      </c>
      <c r="CN31" s="57">
        <v>0</v>
      </c>
      <c r="CO31" s="56">
        <v>0</v>
      </c>
      <c r="CP31" s="51">
        <f>SUM(K$31:$Z31)</f>
        <v>422441.20000000007</v>
      </c>
      <c r="CQ31" s="51">
        <v>0</v>
      </c>
      <c r="CR31" s="57">
        <v>0</v>
      </c>
      <c r="CS31" s="57">
        <v>0</v>
      </c>
      <c r="CT31" s="57">
        <v>0</v>
      </c>
      <c r="CU31" s="57">
        <v>0</v>
      </c>
      <c r="CV31" s="57">
        <v>0</v>
      </c>
      <c r="CW31" s="57">
        <v>0</v>
      </c>
      <c r="CX31" s="57">
        <v>0</v>
      </c>
      <c r="CY31" s="57">
        <v>0</v>
      </c>
      <c r="CZ31" s="57">
        <v>0</v>
      </c>
      <c r="DA31" s="57">
        <v>0</v>
      </c>
      <c r="DB31" s="57">
        <v>0</v>
      </c>
      <c r="DC31" s="57">
        <v>0</v>
      </c>
      <c r="DD31" s="57">
        <v>0</v>
      </c>
      <c r="DE31" s="57">
        <v>0</v>
      </c>
      <c r="DF31" s="57">
        <v>0</v>
      </c>
      <c r="DG31" s="57">
        <v>0</v>
      </c>
      <c r="DH31" s="57">
        <v>0</v>
      </c>
      <c r="DI31" s="57">
        <v>0</v>
      </c>
      <c r="DJ31" s="57">
        <v>0</v>
      </c>
      <c r="DK31" s="57">
        <v>0</v>
      </c>
      <c r="DL31" s="56">
        <v>0</v>
      </c>
      <c r="DM31" s="51">
        <f>SUM(M$31:$Z31)</f>
        <v>370879.30000000005</v>
      </c>
      <c r="DN31" s="51">
        <v>0</v>
      </c>
      <c r="DO31" s="57">
        <v>0</v>
      </c>
      <c r="DP31" s="57">
        <v>0</v>
      </c>
      <c r="DQ31" s="57">
        <v>0</v>
      </c>
      <c r="DR31" s="57">
        <v>0</v>
      </c>
      <c r="DS31" s="57">
        <v>0</v>
      </c>
      <c r="DT31" s="57">
        <v>0</v>
      </c>
      <c r="DU31" s="57">
        <v>0</v>
      </c>
      <c r="DV31" s="57">
        <v>0</v>
      </c>
      <c r="DW31" s="57">
        <v>0</v>
      </c>
      <c r="DX31" s="57">
        <v>0</v>
      </c>
      <c r="DY31" s="57">
        <v>0</v>
      </c>
      <c r="DZ31" s="57">
        <v>0</v>
      </c>
      <c r="EA31" s="57">
        <v>0</v>
      </c>
      <c r="EB31" s="57">
        <v>0</v>
      </c>
      <c r="EC31" s="57">
        <v>0</v>
      </c>
      <c r="ED31" s="57">
        <v>0</v>
      </c>
      <c r="EE31" s="57">
        <v>0</v>
      </c>
      <c r="EF31" s="57">
        <v>0</v>
      </c>
      <c r="EG31" s="57">
        <v>0</v>
      </c>
      <c r="EH31" s="57">
        <v>0</v>
      </c>
      <c r="EI31" s="57">
        <v>0</v>
      </c>
      <c r="EJ31" s="56">
        <v>0</v>
      </c>
      <c r="EK31" s="51">
        <f>SUM(O$31:$Z31)</f>
        <v>275437.08999999997</v>
      </c>
      <c r="EL31" s="51">
        <v>0</v>
      </c>
    </row>
    <row r="32" spans="1:144" s="13" customFormat="1" ht="25" customHeight="1">
      <c r="A32" s="87"/>
      <c r="B32" s="60">
        <v>805</v>
      </c>
      <c r="C32" s="55" t="s">
        <v>36</v>
      </c>
      <c r="D32" s="54"/>
      <c r="E32" s="53">
        <f t="shared" ref="E32:X32" si="42">SUM(E33:E36)</f>
        <v>3.63</v>
      </c>
      <c r="F32" s="53">
        <f t="shared" si="42"/>
        <v>19.93</v>
      </c>
      <c r="G32" s="53">
        <f t="shared" si="42"/>
        <v>0.42</v>
      </c>
      <c r="H32" s="53">
        <f t="shared" si="42"/>
        <v>0</v>
      </c>
      <c r="I32" s="53">
        <f t="shared" si="42"/>
        <v>0</v>
      </c>
      <c r="J32" s="53">
        <f t="shared" si="42"/>
        <v>493.19</v>
      </c>
      <c r="K32" s="53">
        <f t="shared" si="42"/>
        <v>2587.25</v>
      </c>
      <c r="L32" s="53">
        <f t="shared" si="42"/>
        <v>1656.26</v>
      </c>
      <c r="M32" s="53">
        <f t="shared" si="42"/>
        <v>2163.0300000000002</v>
      </c>
      <c r="N32" s="53">
        <f t="shared" si="42"/>
        <v>3360.13</v>
      </c>
      <c r="O32" s="53">
        <f t="shared" si="42"/>
        <v>91.69</v>
      </c>
      <c r="P32" s="53">
        <f t="shared" si="42"/>
        <v>2853.9</v>
      </c>
      <c r="Q32" s="53">
        <f t="shared" si="42"/>
        <v>143757.04</v>
      </c>
      <c r="R32" s="53">
        <f t="shared" si="42"/>
        <v>6.24</v>
      </c>
      <c r="S32" s="53">
        <f t="shared" si="42"/>
        <v>94.72</v>
      </c>
      <c r="T32" s="53">
        <f t="shared" si="42"/>
        <v>277.87</v>
      </c>
      <c r="U32" s="53">
        <f t="shared" si="42"/>
        <v>192.13</v>
      </c>
      <c r="V32" s="53">
        <f t="shared" si="42"/>
        <v>98.65</v>
      </c>
      <c r="W32" s="53">
        <f t="shared" si="42"/>
        <v>171.86</v>
      </c>
      <c r="X32" s="53">
        <f t="shared" si="42"/>
        <v>730.17</v>
      </c>
      <c r="Z32" s="52">
        <f>SUM(Z33:Z36)</f>
        <v>63216.53</v>
      </c>
      <c r="AA32" s="54">
        <f>SUM(E32:$Z$32)-Y32</f>
        <v>221774.63999999998</v>
      </c>
      <c r="AB32" s="51">
        <v>0</v>
      </c>
      <c r="AC32" s="53">
        <v>2995.89</v>
      </c>
      <c r="AD32" s="53">
        <v>2249.5</v>
      </c>
      <c r="AE32" s="53">
        <v>2995.2</v>
      </c>
      <c r="AF32" s="53">
        <v>11.92</v>
      </c>
      <c r="AG32" s="53">
        <v>7626.38</v>
      </c>
      <c r="AH32" s="53">
        <v>1338.29</v>
      </c>
      <c r="AI32" s="53">
        <v>45.66</v>
      </c>
      <c r="AJ32" s="53">
        <v>406.2</v>
      </c>
      <c r="AK32" s="53">
        <v>334.9</v>
      </c>
      <c r="AL32" s="53">
        <v>576.21</v>
      </c>
      <c r="AM32" s="53">
        <f t="shared" ref="AM32:AT32" si="43">SUM(AM33:AM36)</f>
        <v>1.57</v>
      </c>
      <c r="AN32" s="53">
        <f t="shared" si="43"/>
        <v>6447.22</v>
      </c>
      <c r="AO32" s="53">
        <f t="shared" si="43"/>
        <v>2004.23</v>
      </c>
      <c r="AP32" s="53">
        <f t="shared" si="43"/>
        <v>3802.46</v>
      </c>
      <c r="AQ32" s="53">
        <f t="shared" si="43"/>
        <v>2454.25</v>
      </c>
      <c r="AR32" s="53">
        <f t="shared" si="43"/>
        <v>427.24</v>
      </c>
      <c r="AS32" s="53">
        <f t="shared" si="43"/>
        <v>790.27</v>
      </c>
      <c r="AT32" s="53">
        <f t="shared" si="43"/>
        <v>63540.92</v>
      </c>
      <c r="AU32" s="106">
        <f>SUM(AC32:$AT$32)</f>
        <v>98048.31</v>
      </c>
      <c r="AV32" s="105">
        <f t="shared" ref="AV32:BQ32" si="44">SUM(AV33:AV36)</f>
        <v>0</v>
      </c>
      <c r="AW32" s="105">
        <f t="shared" si="44"/>
        <v>0</v>
      </c>
      <c r="AX32" s="105">
        <f t="shared" si="44"/>
        <v>0</v>
      </c>
      <c r="AY32" s="105">
        <f t="shared" si="44"/>
        <v>0</v>
      </c>
      <c r="AZ32" s="105">
        <f t="shared" si="44"/>
        <v>0</v>
      </c>
      <c r="BA32" s="105">
        <f t="shared" si="44"/>
        <v>0</v>
      </c>
      <c r="BB32" s="105">
        <f t="shared" si="44"/>
        <v>0</v>
      </c>
      <c r="BC32" s="105">
        <f t="shared" si="44"/>
        <v>0</v>
      </c>
      <c r="BD32" s="105">
        <f t="shared" si="44"/>
        <v>0</v>
      </c>
      <c r="BE32" s="105">
        <f t="shared" si="44"/>
        <v>0</v>
      </c>
      <c r="BF32" s="105">
        <f t="shared" si="44"/>
        <v>0</v>
      </c>
      <c r="BG32" s="105">
        <f t="shared" si="44"/>
        <v>0</v>
      </c>
      <c r="BH32" s="105">
        <f t="shared" si="44"/>
        <v>0</v>
      </c>
      <c r="BI32" s="105">
        <f t="shared" si="44"/>
        <v>0</v>
      </c>
      <c r="BJ32" s="105">
        <f t="shared" si="44"/>
        <v>0</v>
      </c>
      <c r="BK32" s="105">
        <f t="shared" si="44"/>
        <v>0</v>
      </c>
      <c r="BL32" s="105">
        <f t="shared" si="44"/>
        <v>0</v>
      </c>
      <c r="BM32" s="105">
        <f t="shared" si="44"/>
        <v>0</v>
      </c>
      <c r="BN32" s="105">
        <f t="shared" si="44"/>
        <v>0</v>
      </c>
      <c r="BO32" s="105">
        <f t="shared" si="44"/>
        <v>0</v>
      </c>
      <c r="BP32" s="105">
        <f t="shared" si="44"/>
        <v>0</v>
      </c>
      <c r="BQ32" s="104">
        <f t="shared" si="44"/>
        <v>0</v>
      </c>
      <c r="BR32" s="51" t="e">
        <f>SUM(#REF!)</f>
        <v>#REF!</v>
      </c>
      <c r="BS32" s="51">
        <v>0</v>
      </c>
      <c r="BT32" s="105">
        <f t="shared" ref="BT32:CO32" si="45">SUM(BT33:BT36)</f>
        <v>0</v>
      </c>
      <c r="BU32" s="105">
        <f t="shared" si="45"/>
        <v>0</v>
      </c>
      <c r="BV32" s="105">
        <f t="shared" si="45"/>
        <v>0</v>
      </c>
      <c r="BW32" s="105">
        <f t="shared" si="45"/>
        <v>0</v>
      </c>
      <c r="BX32" s="105">
        <f t="shared" si="45"/>
        <v>0</v>
      </c>
      <c r="BY32" s="105">
        <f t="shared" si="45"/>
        <v>0</v>
      </c>
      <c r="BZ32" s="105">
        <f t="shared" si="45"/>
        <v>0</v>
      </c>
      <c r="CA32" s="105">
        <f t="shared" si="45"/>
        <v>0</v>
      </c>
      <c r="CB32" s="105">
        <f t="shared" si="45"/>
        <v>0</v>
      </c>
      <c r="CC32" s="105">
        <f t="shared" si="45"/>
        <v>0</v>
      </c>
      <c r="CD32" s="105">
        <f t="shared" si="45"/>
        <v>0</v>
      </c>
      <c r="CE32" s="105">
        <f t="shared" si="45"/>
        <v>0</v>
      </c>
      <c r="CF32" s="105">
        <f t="shared" si="45"/>
        <v>0</v>
      </c>
      <c r="CG32" s="105">
        <f t="shared" si="45"/>
        <v>0</v>
      </c>
      <c r="CH32" s="105">
        <f t="shared" si="45"/>
        <v>0</v>
      </c>
      <c r="CI32" s="105">
        <f t="shared" si="45"/>
        <v>0</v>
      </c>
      <c r="CJ32" s="105">
        <f t="shared" si="45"/>
        <v>0</v>
      </c>
      <c r="CK32" s="105">
        <f t="shared" si="45"/>
        <v>0</v>
      </c>
      <c r="CL32" s="105">
        <f t="shared" si="45"/>
        <v>0</v>
      </c>
      <c r="CM32" s="105">
        <f t="shared" si="45"/>
        <v>0</v>
      </c>
      <c r="CN32" s="105">
        <f t="shared" si="45"/>
        <v>0</v>
      </c>
      <c r="CO32" s="104">
        <f t="shared" si="45"/>
        <v>0</v>
      </c>
      <c r="CP32" s="51">
        <f>SUM(K32:$Z$32)</f>
        <v>221257.47</v>
      </c>
      <c r="CQ32" s="51">
        <v>0</v>
      </c>
      <c r="CR32" s="105">
        <f t="shared" ref="CR32:DL32" si="46">SUM(CR33:CR36)</f>
        <v>0</v>
      </c>
      <c r="CS32" s="105">
        <f t="shared" si="46"/>
        <v>0</v>
      </c>
      <c r="CT32" s="105">
        <f t="shared" si="46"/>
        <v>0</v>
      </c>
      <c r="CU32" s="105">
        <f t="shared" si="46"/>
        <v>0</v>
      </c>
      <c r="CV32" s="105">
        <f t="shared" si="46"/>
        <v>0</v>
      </c>
      <c r="CW32" s="105">
        <f t="shared" si="46"/>
        <v>0</v>
      </c>
      <c r="CX32" s="105">
        <f t="shared" si="46"/>
        <v>0</v>
      </c>
      <c r="CY32" s="105">
        <f t="shared" si="46"/>
        <v>0</v>
      </c>
      <c r="CZ32" s="105">
        <f t="shared" si="46"/>
        <v>0</v>
      </c>
      <c r="DA32" s="105">
        <f t="shared" si="46"/>
        <v>0</v>
      </c>
      <c r="DB32" s="105">
        <f t="shared" si="46"/>
        <v>0</v>
      </c>
      <c r="DC32" s="105">
        <f t="shared" si="46"/>
        <v>0</v>
      </c>
      <c r="DD32" s="105">
        <f t="shared" si="46"/>
        <v>0</v>
      </c>
      <c r="DE32" s="105">
        <f t="shared" si="46"/>
        <v>0</v>
      </c>
      <c r="DF32" s="105">
        <f t="shared" si="46"/>
        <v>0</v>
      </c>
      <c r="DG32" s="105">
        <f t="shared" si="46"/>
        <v>0</v>
      </c>
      <c r="DH32" s="105">
        <f t="shared" si="46"/>
        <v>0</v>
      </c>
      <c r="DI32" s="105">
        <f t="shared" si="46"/>
        <v>0</v>
      </c>
      <c r="DJ32" s="105">
        <f t="shared" si="46"/>
        <v>0</v>
      </c>
      <c r="DK32" s="105">
        <f t="shared" si="46"/>
        <v>0</v>
      </c>
      <c r="DL32" s="104">
        <f t="shared" si="46"/>
        <v>0</v>
      </c>
      <c r="DM32" s="51">
        <f>SUM(M32:$Z$32)</f>
        <v>217013.96</v>
      </c>
      <c r="DN32" s="51">
        <v>0</v>
      </c>
      <c r="DO32" s="105">
        <f t="shared" ref="DO32:EJ32" si="47">SUM(DO33:DO36)</f>
        <v>0</v>
      </c>
      <c r="DP32" s="105">
        <f t="shared" si="47"/>
        <v>0</v>
      </c>
      <c r="DQ32" s="105">
        <f t="shared" si="47"/>
        <v>0</v>
      </c>
      <c r="DR32" s="105">
        <f t="shared" si="47"/>
        <v>0</v>
      </c>
      <c r="DS32" s="105">
        <f t="shared" si="47"/>
        <v>0</v>
      </c>
      <c r="DT32" s="105">
        <f t="shared" si="47"/>
        <v>0</v>
      </c>
      <c r="DU32" s="105">
        <f t="shared" si="47"/>
        <v>0</v>
      </c>
      <c r="DV32" s="105">
        <f t="shared" si="47"/>
        <v>0</v>
      </c>
      <c r="DW32" s="105">
        <f t="shared" si="47"/>
        <v>0</v>
      </c>
      <c r="DX32" s="105">
        <f t="shared" si="47"/>
        <v>0</v>
      </c>
      <c r="DY32" s="105">
        <f t="shared" si="47"/>
        <v>0</v>
      </c>
      <c r="DZ32" s="105">
        <f t="shared" si="47"/>
        <v>0</v>
      </c>
      <c r="EA32" s="105">
        <f t="shared" si="47"/>
        <v>0</v>
      </c>
      <c r="EB32" s="105">
        <f t="shared" si="47"/>
        <v>0</v>
      </c>
      <c r="EC32" s="105">
        <f t="shared" si="47"/>
        <v>0</v>
      </c>
      <c r="ED32" s="105">
        <f t="shared" si="47"/>
        <v>0</v>
      </c>
      <c r="EE32" s="105">
        <f t="shared" si="47"/>
        <v>0</v>
      </c>
      <c r="EF32" s="105">
        <f t="shared" si="47"/>
        <v>0</v>
      </c>
      <c r="EG32" s="105">
        <f t="shared" si="47"/>
        <v>0</v>
      </c>
      <c r="EH32" s="105">
        <f t="shared" si="47"/>
        <v>0</v>
      </c>
      <c r="EI32" s="105">
        <f t="shared" si="47"/>
        <v>0</v>
      </c>
      <c r="EJ32" s="104">
        <f t="shared" si="47"/>
        <v>0</v>
      </c>
      <c r="EK32" s="51">
        <f>SUM(O32:$Z$32)</f>
        <v>211490.8</v>
      </c>
      <c r="EL32" s="51">
        <v>0</v>
      </c>
      <c r="EN32" s="21"/>
    </row>
    <row r="33" spans="1:144" s="13" customFormat="1" ht="25" customHeight="1">
      <c r="A33" s="90" t="s">
        <v>6</v>
      </c>
      <c r="B33" s="80"/>
      <c r="C33" s="103" t="s">
        <v>35</v>
      </c>
      <c r="D33" s="58"/>
      <c r="E33" s="57">
        <v>3.63</v>
      </c>
      <c r="F33" s="57">
        <v>19.93</v>
      </c>
      <c r="G33" s="57">
        <v>0.42</v>
      </c>
      <c r="H33" s="57">
        <v>0</v>
      </c>
      <c r="I33" s="57">
        <v>0</v>
      </c>
      <c r="J33" s="57">
        <v>403.19</v>
      </c>
      <c r="K33" s="57">
        <v>1473.45</v>
      </c>
      <c r="L33" s="57">
        <v>1566.26</v>
      </c>
      <c r="M33" s="57">
        <v>2163.0300000000002</v>
      </c>
      <c r="N33" s="57">
        <v>3315.13</v>
      </c>
      <c r="O33" s="57">
        <v>1.69</v>
      </c>
      <c r="P33" s="57">
        <v>2763.9</v>
      </c>
      <c r="Q33" s="57">
        <v>1.42</v>
      </c>
      <c r="R33" s="57">
        <v>6.24</v>
      </c>
      <c r="S33" s="57">
        <v>4.72</v>
      </c>
      <c r="T33" s="57">
        <v>7.87</v>
      </c>
      <c r="U33" s="57">
        <v>12.13</v>
      </c>
      <c r="V33" s="57">
        <v>8.65</v>
      </c>
      <c r="W33" s="57">
        <v>171.86</v>
      </c>
      <c r="X33" s="57">
        <v>550.16999999999996</v>
      </c>
      <c r="Z33" s="56">
        <v>1127.83</v>
      </c>
      <c r="AA33" s="58">
        <f>SUM(E33:$Z$33)-Y33</f>
        <v>13601.52</v>
      </c>
      <c r="AB33" s="51">
        <v>0</v>
      </c>
      <c r="AC33" s="57">
        <v>2545.89</v>
      </c>
      <c r="AD33" s="57">
        <v>0</v>
      </c>
      <c r="AE33" s="57">
        <v>2995.2</v>
      </c>
      <c r="AF33" s="57">
        <v>0</v>
      </c>
      <c r="AG33" s="57">
        <v>7491.38</v>
      </c>
      <c r="AH33" s="57">
        <v>1158.29</v>
      </c>
      <c r="AI33" s="57">
        <v>0.66</v>
      </c>
      <c r="AJ33" s="57">
        <v>361.2</v>
      </c>
      <c r="AK33" s="57">
        <v>334.9</v>
      </c>
      <c r="AL33" s="57">
        <v>576.21</v>
      </c>
      <c r="AM33" s="57">
        <v>1.57</v>
      </c>
      <c r="AN33" s="57">
        <v>6447.22</v>
      </c>
      <c r="AO33" s="57">
        <v>1914.23</v>
      </c>
      <c r="AP33" s="57">
        <v>3802.46</v>
      </c>
      <c r="AQ33" s="57">
        <v>2364.25</v>
      </c>
      <c r="AR33" s="57">
        <v>292.24</v>
      </c>
      <c r="AS33" s="57">
        <v>700.27</v>
      </c>
      <c r="AT33" s="57">
        <v>1497.22</v>
      </c>
      <c r="AU33" s="58">
        <f>SUM(AC33:$AT$33)</f>
        <v>32483.190000000006</v>
      </c>
      <c r="AV33" s="57">
        <v>0</v>
      </c>
      <c r="AW33" s="57">
        <v>0</v>
      </c>
      <c r="AX33" s="57">
        <v>0</v>
      </c>
      <c r="AY33" s="57">
        <v>0</v>
      </c>
      <c r="AZ33" s="57">
        <v>0</v>
      </c>
      <c r="BA33" s="57">
        <v>0</v>
      </c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57">
        <v>0</v>
      </c>
      <c r="BH33" s="57">
        <v>0</v>
      </c>
      <c r="BI33" s="57">
        <v>0</v>
      </c>
      <c r="BJ33" s="57">
        <v>0</v>
      </c>
      <c r="BK33" s="57">
        <v>0</v>
      </c>
      <c r="BL33" s="57">
        <v>0</v>
      </c>
      <c r="BM33" s="57">
        <v>0</v>
      </c>
      <c r="BN33" s="57">
        <v>0</v>
      </c>
      <c r="BO33" s="57">
        <v>0</v>
      </c>
      <c r="BP33" s="57">
        <v>0</v>
      </c>
      <c r="BQ33" s="56">
        <v>0</v>
      </c>
      <c r="BR33" s="51" t="e">
        <f>SUM(#REF!)</f>
        <v>#REF!</v>
      </c>
      <c r="BS33" s="51">
        <v>0</v>
      </c>
      <c r="BT33" s="57">
        <v>0</v>
      </c>
      <c r="BU33" s="57">
        <v>0</v>
      </c>
      <c r="BV33" s="57">
        <v>0</v>
      </c>
      <c r="BW33" s="57">
        <v>0</v>
      </c>
      <c r="BX33" s="57">
        <v>0</v>
      </c>
      <c r="BY33" s="57">
        <v>0</v>
      </c>
      <c r="BZ33" s="57">
        <v>0</v>
      </c>
      <c r="CA33" s="57">
        <v>0</v>
      </c>
      <c r="CB33" s="57">
        <v>0</v>
      </c>
      <c r="CC33" s="57">
        <v>0</v>
      </c>
      <c r="CD33" s="57">
        <v>0</v>
      </c>
      <c r="CE33" s="57">
        <v>0</v>
      </c>
      <c r="CF33" s="57">
        <v>0</v>
      </c>
      <c r="CG33" s="57">
        <v>0</v>
      </c>
      <c r="CH33" s="57">
        <v>0</v>
      </c>
      <c r="CI33" s="57">
        <v>0</v>
      </c>
      <c r="CJ33" s="57">
        <v>0</v>
      </c>
      <c r="CK33" s="57">
        <v>0</v>
      </c>
      <c r="CL33" s="57">
        <v>0</v>
      </c>
      <c r="CM33" s="57">
        <v>0</v>
      </c>
      <c r="CN33" s="57">
        <v>0</v>
      </c>
      <c r="CO33" s="56">
        <v>0</v>
      </c>
      <c r="CP33" s="51">
        <f>SUM(K33:$Z$33)</f>
        <v>13174.349999999999</v>
      </c>
      <c r="CQ33" s="51">
        <v>0</v>
      </c>
      <c r="CR33" s="57">
        <v>0</v>
      </c>
      <c r="CS33" s="57">
        <v>0</v>
      </c>
      <c r="CT33" s="57">
        <v>0</v>
      </c>
      <c r="CU33" s="57">
        <v>0</v>
      </c>
      <c r="CV33" s="57">
        <v>0</v>
      </c>
      <c r="CW33" s="57">
        <v>0</v>
      </c>
      <c r="CX33" s="57">
        <v>0</v>
      </c>
      <c r="CY33" s="57">
        <v>0</v>
      </c>
      <c r="CZ33" s="57">
        <v>0</v>
      </c>
      <c r="DA33" s="57">
        <v>0</v>
      </c>
      <c r="DB33" s="57">
        <v>0</v>
      </c>
      <c r="DC33" s="57">
        <v>0</v>
      </c>
      <c r="DD33" s="57">
        <v>0</v>
      </c>
      <c r="DE33" s="57">
        <v>0</v>
      </c>
      <c r="DF33" s="57">
        <v>0</v>
      </c>
      <c r="DG33" s="57">
        <v>0</v>
      </c>
      <c r="DH33" s="57">
        <v>0</v>
      </c>
      <c r="DI33" s="57">
        <v>0</v>
      </c>
      <c r="DJ33" s="57">
        <v>0</v>
      </c>
      <c r="DK33" s="57">
        <v>0</v>
      </c>
      <c r="DL33" s="56">
        <v>0</v>
      </c>
      <c r="DM33" s="51">
        <f>SUM(M33:$Z$33)</f>
        <v>10134.64</v>
      </c>
      <c r="DN33" s="51">
        <v>0</v>
      </c>
      <c r="DO33" s="57">
        <v>0</v>
      </c>
      <c r="DP33" s="57">
        <v>0</v>
      </c>
      <c r="DQ33" s="57">
        <v>0</v>
      </c>
      <c r="DR33" s="57">
        <v>0</v>
      </c>
      <c r="DS33" s="57">
        <v>0</v>
      </c>
      <c r="DT33" s="57">
        <v>0</v>
      </c>
      <c r="DU33" s="57">
        <v>0</v>
      </c>
      <c r="DV33" s="57">
        <v>0</v>
      </c>
      <c r="DW33" s="57">
        <v>0</v>
      </c>
      <c r="DX33" s="57">
        <v>0</v>
      </c>
      <c r="DY33" s="57">
        <v>0</v>
      </c>
      <c r="DZ33" s="57">
        <v>0</v>
      </c>
      <c r="EA33" s="57">
        <v>0</v>
      </c>
      <c r="EB33" s="57">
        <v>0</v>
      </c>
      <c r="EC33" s="57">
        <v>0</v>
      </c>
      <c r="ED33" s="57">
        <v>0</v>
      </c>
      <c r="EE33" s="57">
        <v>0</v>
      </c>
      <c r="EF33" s="57">
        <v>0</v>
      </c>
      <c r="EG33" s="57">
        <v>0</v>
      </c>
      <c r="EH33" s="57">
        <v>0</v>
      </c>
      <c r="EI33" s="57">
        <v>0</v>
      </c>
      <c r="EJ33" s="56">
        <v>0</v>
      </c>
      <c r="EK33" s="51">
        <f>SUM(O33:$Z$33)</f>
        <v>4656.4799999999996</v>
      </c>
      <c r="EL33" s="51">
        <v>0</v>
      </c>
    </row>
    <row r="34" spans="1:144" s="13" customFormat="1" ht="25" customHeight="1">
      <c r="A34" s="90" t="s">
        <v>6</v>
      </c>
      <c r="B34" s="80"/>
      <c r="C34" s="103" t="s">
        <v>34</v>
      </c>
      <c r="D34" s="58"/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Z34" s="56">
        <v>61863.7</v>
      </c>
      <c r="AA34" s="58">
        <f>SUM(E34:$Z$34)-Y34</f>
        <v>61863.7</v>
      </c>
      <c r="AB34" s="51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61863.7</v>
      </c>
      <c r="AU34" s="58">
        <f>SUM(AC34:$AT$34)</f>
        <v>61863.7</v>
      </c>
      <c r="AV34" s="57">
        <v>0</v>
      </c>
      <c r="AW34" s="57">
        <v>0</v>
      </c>
      <c r="AX34" s="57">
        <v>0</v>
      </c>
      <c r="AY34" s="57">
        <v>0</v>
      </c>
      <c r="AZ34" s="57">
        <v>0</v>
      </c>
      <c r="BA34" s="57">
        <v>0</v>
      </c>
      <c r="BB34" s="57">
        <v>0</v>
      </c>
      <c r="BC34" s="57">
        <v>0</v>
      </c>
      <c r="BD34" s="57">
        <v>0</v>
      </c>
      <c r="BE34" s="57">
        <v>0</v>
      </c>
      <c r="BF34" s="57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0</v>
      </c>
      <c r="BL34" s="57">
        <v>0</v>
      </c>
      <c r="BM34" s="57">
        <v>0</v>
      </c>
      <c r="BN34" s="57">
        <v>0</v>
      </c>
      <c r="BO34" s="57">
        <v>0</v>
      </c>
      <c r="BP34" s="57">
        <v>0</v>
      </c>
      <c r="BQ34" s="56">
        <v>0</v>
      </c>
      <c r="BR34" s="51" t="e">
        <f>SUM(#REF!)</f>
        <v>#REF!</v>
      </c>
      <c r="BS34" s="51">
        <v>0</v>
      </c>
      <c r="BT34" s="57">
        <v>0</v>
      </c>
      <c r="BU34" s="57">
        <v>0</v>
      </c>
      <c r="BV34" s="57">
        <v>0</v>
      </c>
      <c r="BW34" s="57">
        <v>0</v>
      </c>
      <c r="BX34" s="57">
        <v>0</v>
      </c>
      <c r="BY34" s="57">
        <v>0</v>
      </c>
      <c r="BZ34" s="57">
        <v>0</v>
      </c>
      <c r="CA34" s="57">
        <v>0</v>
      </c>
      <c r="CB34" s="57">
        <v>0</v>
      </c>
      <c r="CC34" s="57">
        <v>0</v>
      </c>
      <c r="CD34" s="57">
        <v>0</v>
      </c>
      <c r="CE34" s="57">
        <v>0</v>
      </c>
      <c r="CF34" s="57">
        <v>0</v>
      </c>
      <c r="CG34" s="57">
        <v>0</v>
      </c>
      <c r="CH34" s="57">
        <v>0</v>
      </c>
      <c r="CI34" s="57">
        <v>0</v>
      </c>
      <c r="CJ34" s="57">
        <v>0</v>
      </c>
      <c r="CK34" s="57">
        <v>0</v>
      </c>
      <c r="CL34" s="57">
        <v>0</v>
      </c>
      <c r="CM34" s="57">
        <v>0</v>
      </c>
      <c r="CN34" s="57">
        <v>0</v>
      </c>
      <c r="CO34" s="56">
        <v>0</v>
      </c>
      <c r="CP34" s="51">
        <f>SUM(K34:$Z$34)</f>
        <v>61863.7</v>
      </c>
      <c r="CQ34" s="51">
        <v>0</v>
      </c>
      <c r="CR34" s="57">
        <v>0</v>
      </c>
      <c r="CS34" s="57">
        <v>0</v>
      </c>
      <c r="CT34" s="57">
        <v>0</v>
      </c>
      <c r="CU34" s="57">
        <v>0</v>
      </c>
      <c r="CV34" s="57">
        <v>0</v>
      </c>
      <c r="CW34" s="57">
        <v>0</v>
      </c>
      <c r="CX34" s="57">
        <v>0</v>
      </c>
      <c r="CY34" s="57">
        <v>0</v>
      </c>
      <c r="CZ34" s="57">
        <v>0</v>
      </c>
      <c r="DA34" s="57">
        <v>0</v>
      </c>
      <c r="DB34" s="57">
        <v>0</v>
      </c>
      <c r="DC34" s="57">
        <v>0</v>
      </c>
      <c r="DD34" s="57">
        <v>0</v>
      </c>
      <c r="DE34" s="57">
        <v>0</v>
      </c>
      <c r="DF34" s="57">
        <v>0</v>
      </c>
      <c r="DG34" s="57">
        <v>0</v>
      </c>
      <c r="DH34" s="57">
        <v>0</v>
      </c>
      <c r="DI34" s="57">
        <v>0</v>
      </c>
      <c r="DJ34" s="57">
        <v>0</v>
      </c>
      <c r="DK34" s="57">
        <v>0</v>
      </c>
      <c r="DL34" s="56">
        <v>0</v>
      </c>
      <c r="DM34" s="51">
        <f>SUM(M34:$Z$34)</f>
        <v>61863.7</v>
      </c>
      <c r="DN34" s="51">
        <v>0</v>
      </c>
      <c r="DO34" s="57">
        <v>0</v>
      </c>
      <c r="DP34" s="57">
        <v>0</v>
      </c>
      <c r="DQ34" s="57">
        <v>0</v>
      </c>
      <c r="DR34" s="57">
        <v>0</v>
      </c>
      <c r="DS34" s="57">
        <v>0</v>
      </c>
      <c r="DT34" s="57">
        <v>0</v>
      </c>
      <c r="DU34" s="57">
        <v>0</v>
      </c>
      <c r="DV34" s="57">
        <v>0</v>
      </c>
      <c r="DW34" s="57">
        <v>0</v>
      </c>
      <c r="DX34" s="57">
        <v>0</v>
      </c>
      <c r="DY34" s="57">
        <v>0</v>
      </c>
      <c r="DZ34" s="57">
        <v>0</v>
      </c>
      <c r="EA34" s="57">
        <v>0</v>
      </c>
      <c r="EB34" s="57">
        <v>0</v>
      </c>
      <c r="EC34" s="57">
        <v>0</v>
      </c>
      <c r="ED34" s="57">
        <v>0</v>
      </c>
      <c r="EE34" s="57">
        <v>0</v>
      </c>
      <c r="EF34" s="57">
        <v>0</v>
      </c>
      <c r="EG34" s="57">
        <v>0</v>
      </c>
      <c r="EH34" s="57">
        <v>0</v>
      </c>
      <c r="EI34" s="57">
        <v>0</v>
      </c>
      <c r="EJ34" s="56">
        <v>0</v>
      </c>
      <c r="EK34" s="51">
        <f>SUM(O34:$Z$34)</f>
        <v>61863.7</v>
      </c>
      <c r="EL34" s="51">
        <v>0</v>
      </c>
    </row>
    <row r="35" spans="1:144" s="13" customFormat="1" ht="25" customHeight="1">
      <c r="A35" s="90" t="s">
        <v>6</v>
      </c>
      <c r="B35" s="80"/>
      <c r="C35" s="103" t="s">
        <v>33</v>
      </c>
      <c r="D35" s="58"/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90</v>
      </c>
      <c r="K35" s="57">
        <v>0</v>
      </c>
      <c r="L35" s="57">
        <v>90</v>
      </c>
      <c r="M35" s="57">
        <v>0</v>
      </c>
      <c r="N35" s="57">
        <v>45</v>
      </c>
      <c r="O35" s="57">
        <v>90</v>
      </c>
      <c r="P35" s="57">
        <v>90</v>
      </c>
      <c r="Q35" s="57">
        <v>225</v>
      </c>
      <c r="R35" s="57">
        <v>0</v>
      </c>
      <c r="S35" s="57">
        <v>90</v>
      </c>
      <c r="T35" s="57">
        <v>270</v>
      </c>
      <c r="U35" s="57">
        <v>180</v>
      </c>
      <c r="V35" s="57">
        <v>90</v>
      </c>
      <c r="W35" s="57">
        <v>0</v>
      </c>
      <c r="X35" s="57">
        <v>180</v>
      </c>
      <c r="Z35" s="56">
        <v>225</v>
      </c>
      <c r="AA35" s="58">
        <f>SUM(E$35:$Z35)-Y35</f>
        <v>1665</v>
      </c>
      <c r="AB35" s="51">
        <v>0</v>
      </c>
      <c r="AC35" s="57">
        <v>450</v>
      </c>
      <c r="AD35" s="57">
        <v>135</v>
      </c>
      <c r="AE35" s="57">
        <v>0</v>
      </c>
      <c r="AF35" s="57">
        <v>0</v>
      </c>
      <c r="AG35" s="57">
        <v>135</v>
      </c>
      <c r="AH35" s="57">
        <v>180</v>
      </c>
      <c r="AI35" s="57">
        <v>45</v>
      </c>
      <c r="AJ35" s="57">
        <v>45</v>
      </c>
      <c r="AK35" s="57">
        <v>0</v>
      </c>
      <c r="AL35" s="57">
        <v>0</v>
      </c>
      <c r="AM35" s="57">
        <v>0</v>
      </c>
      <c r="AN35" s="57">
        <v>0</v>
      </c>
      <c r="AO35" s="57">
        <v>90</v>
      </c>
      <c r="AP35" s="57">
        <v>0</v>
      </c>
      <c r="AQ35" s="57">
        <v>90</v>
      </c>
      <c r="AR35" s="57">
        <v>135</v>
      </c>
      <c r="AS35" s="57">
        <v>90</v>
      </c>
      <c r="AT35" s="57">
        <v>180</v>
      </c>
      <c r="AU35" s="58">
        <f>SUM(AC35:$AT$35)</f>
        <v>1575</v>
      </c>
      <c r="AV35" s="57">
        <v>0</v>
      </c>
      <c r="AW35" s="57">
        <v>0</v>
      </c>
      <c r="AX35" s="57">
        <v>0</v>
      </c>
      <c r="AY35" s="57">
        <v>0</v>
      </c>
      <c r="AZ35" s="57">
        <v>0</v>
      </c>
      <c r="BA35" s="57">
        <v>0</v>
      </c>
      <c r="BB35" s="57">
        <v>0</v>
      </c>
      <c r="BC35" s="57">
        <v>0</v>
      </c>
      <c r="BD35" s="57">
        <v>0</v>
      </c>
      <c r="BE35" s="57">
        <v>0</v>
      </c>
      <c r="BF35" s="57">
        <v>0</v>
      </c>
      <c r="BG35" s="57">
        <v>0</v>
      </c>
      <c r="BH35" s="57">
        <v>0</v>
      </c>
      <c r="BI35" s="57">
        <v>0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  <c r="BO35" s="57">
        <v>0</v>
      </c>
      <c r="BP35" s="57">
        <v>0</v>
      </c>
      <c r="BQ35" s="56">
        <v>0</v>
      </c>
      <c r="BR35" s="51" t="e">
        <f>SUM(#REF!)</f>
        <v>#REF!</v>
      </c>
      <c r="BS35" s="51">
        <v>0</v>
      </c>
      <c r="BT35" s="57">
        <v>0</v>
      </c>
      <c r="BU35" s="57">
        <v>0</v>
      </c>
      <c r="BV35" s="57">
        <v>0</v>
      </c>
      <c r="BW35" s="57">
        <v>0</v>
      </c>
      <c r="BX35" s="57">
        <v>0</v>
      </c>
      <c r="BY35" s="57">
        <v>0</v>
      </c>
      <c r="BZ35" s="57">
        <v>0</v>
      </c>
      <c r="CA35" s="57">
        <v>0</v>
      </c>
      <c r="CB35" s="57">
        <v>0</v>
      </c>
      <c r="CC35" s="57">
        <v>0</v>
      </c>
      <c r="CD35" s="57">
        <v>0</v>
      </c>
      <c r="CE35" s="57">
        <v>0</v>
      </c>
      <c r="CF35" s="57">
        <v>0</v>
      </c>
      <c r="CG35" s="57">
        <v>0</v>
      </c>
      <c r="CH35" s="57">
        <v>0</v>
      </c>
      <c r="CI35" s="57">
        <v>0</v>
      </c>
      <c r="CJ35" s="57">
        <v>0</v>
      </c>
      <c r="CK35" s="57">
        <v>0</v>
      </c>
      <c r="CL35" s="57">
        <v>0</v>
      </c>
      <c r="CM35" s="57">
        <v>0</v>
      </c>
      <c r="CN35" s="57">
        <v>0</v>
      </c>
      <c r="CO35" s="56">
        <v>0</v>
      </c>
      <c r="CP35" s="51">
        <f>SUM(K$35:$Z35)</f>
        <v>1575</v>
      </c>
      <c r="CQ35" s="51">
        <v>0</v>
      </c>
      <c r="CR35" s="57">
        <v>0</v>
      </c>
      <c r="CS35" s="57">
        <v>0</v>
      </c>
      <c r="CT35" s="57">
        <v>0</v>
      </c>
      <c r="CU35" s="57">
        <v>0</v>
      </c>
      <c r="CV35" s="57">
        <v>0</v>
      </c>
      <c r="CW35" s="57">
        <v>0</v>
      </c>
      <c r="CX35" s="57">
        <v>0</v>
      </c>
      <c r="CY35" s="57">
        <v>0</v>
      </c>
      <c r="CZ35" s="57">
        <v>0</v>
      </c>
      <c r="DA35" s="57">
        <v>0</v>
      </c>
      <c r="DB35" s="57">
        <v>0</v>
      </c>
      <c r="DC35" s="57">
        <v>0</v>
      </c>
      <c r="DD35" s="57">
        <v>0</v>
      </c>
      <c r="DE35" s="57">
        <v>0</v>
      </c>
      <c r="DF35" s="57">
        <v>0</v>
      </c>
      <c r="DG35" s="57">
        <v>0</v>
      </c>
      <c r="DH35" s="57">
        <v>0</v>
      </c>
      <c r="DI35" s="57">
        <v>0</v>
      </c>
      <c r="DJ35" s="57">
        <v>0</v>
      </c>
      <c r="DK35" s="57">
        <v>0</v>
      </c>
      <c r="DL35" s="56">
        <v>0</v>
      </c>
      <c r="DM35" s="51">
        <f>SUM(M$35:$Z35)</f>
        <v>1485</v>
      </c>
      <c r="DN35" s="51">
        <v>0</v>
      </c>
      <c r="DO35" s="57">
        <v>0</v>
      </c>
      <c r="DP35" s="57">
        <v>0</v>
      </c>
      <c r="DQ35" s="57">
        <v>0</v>
      </c>
      <c r="DR35" s="57">
        <v>0</v>
      </c>
      <c r="DS35" s="57">
        <v>0</v>
      </c>
      <c r="DT35" s="57">
        <v>0</v>
      </c>
      <c r="DU35" s="57">
        <v>0</v>
      </c>
      <c r="DV35" s="57">
        <v>0</v>
      </c>
      <c r="DW35" s="57">
        <v>0</v>
      </c>
      <c r="DX35" s="57">
        <v>0</v>
      </c>
      <c r="DY35" s="57">
        <v>0</v>
      </c>
      <c r="DZ35" s="57">
        <v>0</v>
      </c>
      <c r="EA35" s="57">
        <v>0</v>
      </c>
      <c r="EB35" s="57">
        <v>0</v>
      </c>
      <c r="EC35" s="57">
        <v>0</v>
      </c>
      <c r="ED35" s="57">
        <v>0</v>
      </c>
      <c r="EE35" s="57">
        <v>0</v>
      </c>
      <c r="EF35" s="57">
        <v>0</v>
      </c>
      <c r="EG35" s="57">
        <v>0</v>
      </c>
      <c r="EH35" s="57">
        <v>0</v>
      </c>
      <c r="EI35" s="57">
        <v>0</v>
      </c>
      <c r="EJ35" s="56">
        <v>0</v>
      </c>
      <c r="EK35" s="51">
        <f>SUM(O$35:$Z35)</f>
        <v>1440</v>
      </c>
      <c r="EL35" s="51">
        <v>0</v>
      </c>
    </row>
    <row r="36" spans="1:144" s="13" customFormat="1" ht="25" customHeight="1">
      <c r="A36" s="90" t="s">
        <v>6</v>
      </c>
      <c r="B36" s="80"/>
      <c r="C36" s="103" t="s">
        <v>32</v>
      </c>
      <c r="D36" s="58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1113.8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143530.62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Z36" s="56">
        <v>0</v>
      </c>
      <c r="AA36" s="58">
        <f>SUM(E36:$Z$36)-Y36</f>
        <v>144644.41999999998</v>
      </c>
      <c r="AB36" s="51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0</v>
      </c>
      <c r="AS36" s="57">
        <v>0</v>
      </c>
      <c r="AT36" s="57">
        <v>0</v>
      </c>
      <c r="AU36" s="58">
        <f>SUM(AC36:$AT$36)</f>
        <v>0</v>
      </c>
      <c r="AV36" s="57">
        <v>0</v>
      </c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57">
        <v>0</v>
      </c>
      <c r="BM36" s="57">
        <v>0</v>
      </c>
      <c r="BN36" s="57">
        <v>0</v>
      </c>
      <c r="BO36" s="57">
        <v>0</v>
      </c>
      <c r="BP36" s="57">
        <v>0</v>
      </c>
      <c r="BQ36" s="56">
        <v>0</v>
      </c>
      <c r="BR36" s="51" t="e">
        <f>SUM(#REF!)</f>
        <v>#REF!</v>
      </c>
      <c r="BS36" s="51">
        <v>0</v>
      </c>
      <c r="BT36" s="57">
        <v>0</v>
      </c>
      <c r="BU36" s="57">
        <v>0</v>
      </c>
      <c r="BV36" s="57">
        <v>0</v>
      </c>
      <c r="BW36" s="57">
        <v>0</v>
      </c>
      <c r="BX36" s="57">
        <v>0</v>
      </c>
      <c r="BY36" s="57">
        <v>0</v>
      </c>
      <c r="BZ36" s="57">
        <v>0</v>
      </c>
      <c r="CA36" s="57">
        <v>0</v>
      </c>
      <c r="CB36" s="57">
        <v>0</v>
      </c>
      <c r="CC36" s="57">
        <v>0</v>
      </c>
      <c r="CD36" s="57">
        <v>0</v>
      </c>
      <c r="CE36" s="57">
        <v>0</v>
      </c>
      <c r="CF36" s="57">
        <v>0</v>
      </c>
      <c r="CG36" s="57">
        <v>0</v>
      </c>
      <c r="CH36" s="57">
        <v>0</v>
      </c>
      <c r="CI36" s="57">
        <v>0</v>
      </c>
      <c r="CJ36" s="57">
        <v>0</v>
      </c>
      <c r="CK36" s="57">
        <v>0</v>
      </c>
      <c r="CL36" s="57">
        <v>0</v>
      </c>
      <c r="CM36" s="57">
        <v>0</v>
      </c>
      <c r="CN36" s="57">
        <v>0</v>
      </c>
      <c r="CO36" s="56">
        <v>0</v>
      </c>
      <c r="CP36" s="51">
        <f>SUM(K36:$Z$36)</f>
        <v>144644.41999999998</v>
      </c>
      <c r="CQ36" s="51">
        <v>0</v>
      </c>
      <c r="CR36" s="57">
        <v>0</v>
      </c>
      <c r="CS36" s="57">
        <v>0</v>
      </c>
      <c r="CT36" s="57">
        <v>0</v>
      </c>
      <c r="CU36" s="57">
        <v>0</v>
      </c>
      <c r="CV36" s="57">
        <v>0</v>
      </c>
      <c r="CW36" s="57">
        <v>0</v>
      </c>
      <c r="CX36" s="57">
        <v>0</v>
      </c>
      <c r="CY36" s="57">
        <v>0</v>
      </c>
      <c r="CZ36" s="57">
        <v>0</v>
      </c>
      <c r="DA36" s="57">
        <v>0</v>
      </c>
      <c r="DB36" s="57">
        <v>0</v>
      </c>
      <c r="DC36" s="57">
        <v>0</v>
      </c>
      <c r="DD36" s="57">
        <v>0</v>
      </c>
      <c r="DE36" s="57">
        <v>0</v>
      </c>
      <c r="DF36" s="57">
        <v>0</v>
      </c>
      <c r="DG36" s="57">
        <v>0</v>
      </c>
      <c r="DH36" s="57">
        <v>0</v>
      </c>
      <c r="DI36" s="57">
        <v>0</v>
      </c>
      <c r="DJ36" s="57">
        <v>0</v>
      </c>
      <c r="DK36" s="57">
        <v>0</v>
      </c>
      <c r="DL36" s="56">
        <v>0</v>
      </c>
      <c r="DM36" s="51">
        <f>SUM(M36:$Z$36)</f>
        <v>143530.62</v>
      </c>
      <c r="DN36" s="51">
        <v>0</v>
      </c>
      <c r="DO36" s="57">
        <v>0</v>
      </c>
      <c r="DP36" s="57">
        <v>0</v>
      </c>
      <c r="DQ36" s="57">
        <v>0</v>
      </c>
      <c r="DR36" s="57">
        <v>0</v>
      </c>
      <c r="DS36" s="57">
        <v>0</v>
      </c>
      <c r="DT36" s="57">
        <v>0</v>
      </c>
      <c r="DU36" s="57">
        <v>0</v>
      </c>
      <c r="DV36" s="57">
        <v>0</v>
      </c>
      <c r="DW36" s="57">
        <v>0</v>
      </c>
      <c r="DX36" s="57">
        <v>0</v>
      </c>
      <c r="DY36" s="57">
        <v>0</v>
      </c>
      <c r="DZ36" s="57">
        <v>0</v>
      </c>
      <c r="EA36" s="57">
        <v>0</v>
      </c>
      <c r="EB36" s="57">
        <v>0</v>
      </c>
      <c r="EC36" s="57">
        <v>0</v>
      </c>
      <c r="ED36" s="57">
        <v>0</v>
      </c>
      <c r="EE36" s="57">
        <v>0</v>
      </c>
      <c r="EF36" s="57">
        <v>0</v>
      </c>
      <c r="EG36" s="57">
        <v>0</v>
      </c>
      <c r="EH36" s="57">
        <v>0</v>
      </c>
      <c r="EI36" s="57">
        <v>0</v>
      </c>
      <c r="EJ36" s="56">
        <v>0</v>
      </c>
      <c r="EK36" s="51">
        <f>SUM(O36:$Z$36)</f>
        <v>143530.62</v>
      </c>
      <c r="EL36" s="51">
        <v>0</v>
      </c>
    </row>
    <row r="37" spans="1:144" s="13" customFormat="1" ht="25" customHeight="1">
      <c r="A37" s="87"/>
      <c r="B37" s="11">
        <v>827</v>
      </c>
      <c r="C37" s="55" t="s">
        <v>31</v>
      </c>
      <c r="D37" s="54"/>
      <c r="E37" s="53">
        <v>44165.77</v>
      </c>
      <c r="F37" s="53">
        <v>29820</v>
      </c>
      <c r="G37" s="53">
        <v>2351.79</v>
      </c>
      <c r="H37" s="53">
        <v>20575.8</v>
      </c>
      <c r="I37" s="53">
        <v>0</v>
      </c>
      <c r="J37" s="53">
        <v>16401</v>
      </c>
      <c r="K37" s="53">
        <v>22291.79</v>
      </c>
      <c r="L37" s="53">
        <v>56236.91</v>
      </c>
      <c r="M37" s="53">
        <v>37275</v>
      </c>
      <c r="N37" s="53">
        <v>0</v>
      </c>
      <c r="O37" s="53">
        <v>5964</v>
      </c>
      <c r="P37" s="53">
        <v>0</v>
      </c>
      <c r="Q37" s="53">
        <v>57028.5</v>
      </c>
      <c r="R37" s="53">
        <v>0</v>
      </c>
      <c r="S37" s="53">
        <v>0</v>
      </c>
      <c r="T37" s="53">
        <v>0</v>
      </c>
      <c r="U37" s="53">
        <f>76119.06-2-2706.42</f>
        <v>73410.64</v>
      </c>
      <c r="V37" s="53">
        <v>70766.06</v>
      </c>
      <c r="W37" s="53">
        <v>34293</v>
      </c>
      <c r="X37" s="53">
        <v>23856</v>
      </c>
      <c r="Z37" s="52">
        <v>11928</v>
      </c>
      <c r="AA37" s="54">
        <f>SUM(E37:$Z$37)-Y37</f>
        <v>506364.26</v>
      </c>
      <c r="AB37" s="51">
        <v>0</v>
      </c>
      <c r="AC37" s="53">
        <v>0</v>
      </c>
      <c r="AD37" s="53">
        <v>95424</v>
      </c>
      <c r="AE37" s="53">
        <v>49203</v>
      </c>
      <c r="AF37" s="53">
        <v>20382.18</v>
      </c>
      <c r="AG37" s="53">
        <v>68191.320000000007</v>
      </c>
      <c r="AH37" s="53">
        <v>0</v>
      </c>
      <c r="AI37" s="53">
        <v>23856</v>
      </c>
      <c r="AJ37" s="53">
        <v>3919.65</v>
      </c>
      <c r="AK37" s="53">
        <v>14910</v>
      </c>
      <c r="AL37" s="53">
        <v>37275</v>
      </c>
      <c r="AM37" s="53">
        <v>223799.1</v>
      </c>
      <c r="AN37" s="53">
        <v>0</v>
      </c>
      <c r="AO37" s="53">
        <v>11928</v>
      </c>
      <c r="AP37" s="53">
        <v>193393.06</v>
      </c>
      <c r="AQ37" s="53">
        <v>26092.5</v>
      </c>
      <c r="AR37" s="53">
        <v>21009.32</v>
      </c>
      <c r="AS37" s="53">
        <v>22365</v>
      </c>
      <c r="AT37" s="53">
        <v>0</v>
      </c>
      <c r="AU37" s="54">
        <f>SUM(AC37:$AT$37)</f>
        <v>811748.13</v>
      </c>
      <c r="AV37" s="53">
        <v>0</v>
      </c>
      <c r="AW37" s="53">
        <v>0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3">
        <v>0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53">
        <v>0</v>
      </c>
      <c r="BO37" s="53">
        <v>0</v>
      </c>
      <c r="BP37" s="53">
        <v>0</v>
      </c>
      <c r="BQ37" s="52">
        <v>0</v>
      </c>
      <c r="BR37" s="51" t="e">
        <f>SUM(#REF!)</f>
        <v>#REF!</v>
      </c>
      <c r="BS37" s="51">
        <v>0</v>
      </c>
      <c r="BT37" s="53">
        <v>0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0</v>
      </c>
      <c r="CA37" s="53">
        <v>0</v>
      </c>
      <c r="CB37" s="53">
        <v>0</v>
      </c>
      <c r="CC37" s="53">
        <v>0</v>
      </c>
      <c r="CD37" s="53">
        <v>0</v>
      </c>
      <c r="CE37" s="53">
        <v>0</v>
      </c>
      <c r="CF37" s="53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0</v>
      </c>
      <c r="CL37" s="53">
        <v>0</v>
      </c>
      <c r="CM37" s="53">
        <v>0</v>
      </c>
      <c r="CN37" s="53">
        <v>0</v>
      </c>
      <c r="CO37" s="52">
        <v>0</v>
      </c>
      <c r="CP37" s="51">
        <f>SUM(K37:$Z$37)</f>
        <v>393049.9</v>
      </c>
      <c r="CQ37" s="51">
        <v>0</v>
      </c>
      <c r="CR37" s="53">
        <v>0</v>
      </c>
      <c r="CS37" s="53">
        <v>0</v>
      </c>
      <c r="CT37" s="53">
        <v>0</v>
      </c>
      <c r="CU37" s="53">
        <v>0</v>
      </c>
      <c r="CV37" s="53">
        <v>0</v>
      </c>
      <c r="CW37" s="53">
        <v>0</v>
      </c>
      <c r="CX37" s="53">
        <v>0</v>
      </c>
      <c r="CY37" s="53">
        <v>0</v>
      </c>
      <c r="CZ37" s="53">
        <v>0</v>
      </c>
      <c r="DA37" s="53">
        <v>0</v>
      </c>
      <c r="DB37" s="53">
        <v>0</v>
      </c>
      <c r="DC37" s="53">
        <v>0</v>
      </c>
      <c r="DD37" s="53">
        <v>0</v>
      </c>
      <c r="DE37" s="53">
        <v>0</v>
      </c>
      <c r="DF37" s="53">
        <v>0</v>
      </c>
      <c r="DG37" s="53">
        <v>0</v>
      </c>
      <c r="DH37" s="53">
        <v>0</v>
      </c>
      <c r="DI37" s="53">
        <v>0</v>
      </c>
      <c r="DJ37" s="53">
        <v>0</v>
      </c>
      <c r="DK37" s="53">
        <v>0</v>
      </c>
      <c r="DL37" s="52">
        <v>0</v>
      </c>
      <c r="DM37" s="51">
        <f>SUM(M37:$Z$37)</f>
        <v>314521.2</v>
      </c>
      <c r="DN37" s="51">
        <v>0</v>
      </c>
      <c r="DO37" s="53">
        <v>0</v>
      </c>
      <c r="DP37" s="53">
        <v>0</v>
      </c>
      <c r="DQ37" s="53">
        <v>0</v>
      </c>
      <c r="DR37" s="53">
        <v>0</v>
      </c>
      <c r="DS37" s="53">
        <v>0</v>
      </c>
      <c r="DT37" s="53">
        <v>0</v>
      </c>
      <c r="DU37" s="53">
        <v>0</v>
      </c>
      <c r="DV37" s="53">
        <v>0</v>
      </c>
      <c r="DW37" s="53">
        <v>0</v>
      </c>
      <c r="DX37" s="53">
        <v>0</v>
      </c>
      <c r="DY37" s="53">
        <v>0</v>
      </c>
      <c r="DZ37" s="53">
        <v>0</v>
      </c>
      <c r="EA37" s="53">
        <v>0</v>
      </c>
      <c r="EB37" s="53">
        <v>0</v>
      </c>
      <c r="EC37" s="53">
        <v>0</v>
      </c>
      <c r="ED37" s="53">
        <v>0</v>
      </c>
      <c r="EE37" s="53">
        <v>0</v>
      </c>
      <c r="EF37" s="53">
        <v>0</v>
      </c>
      <c r="EG37" s="53">
        <v>0</v>
      </c>
      <c r="EH37" s="53">
        <v>0</v>
      </c>
      <c r="EI37" s="53">
        <v>0</v>
      </c>
      <c r="EJ37" s="52">
        <v>0</v>
      </c>
      <c r="EK37" s="51">
        <f>SUM(O37:$Z$37)</f>
        <v>277246.2</v>
      </c>
      <c r="EL37" s="51">
        <v>0</v>
      </c>
      <c r="EN37" s="21"/>
    </row>
    <row r="38" spans="1:144" s="13" customFormat="1" ht="25" customHeight="1">
      <c r="A38" s="87"/>
      <c r="B38" s="11">
        <v>824</v>
      </c>
      <c r="C38" s="55" t="s">
        <v>30</v>
      </c>
      <c r="D38" s="54"/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f>196425.95</f>
        <v>196425.95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Z38" s="52">
        <v>2069659.99</v>
      </c>
      <c r="AA38" s="54">
        <f>SUM(E38:$Z$38)-Y38</f>
        <v>2266085.94</v>
      </c>
      <c r="AB38" s="51">
        <f>4502097-AA38</f>
        <v>2236011.06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213072.44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f>1216954.32</f>
        <v>1216954.32</v>
      </c>
      <c r="AU38" s="54">
        <f>SUM(AC38:$AT$38)</f>
        <v>1430026.76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3">
        <v>0</v>
      </c>
      <c r="BK38" s="53">
        <v>0</v>
      </c>
      <c r="BL38" s="53">
        <v>0</v>
      </c>
      <c r="BM38" s="53">
        <v>0</v>
      </c>
      <c r="BN38" s="53">
        <v>0</v>
      </c>
      <c r="BO38" s="53">
        <v>0</v>
      </c>
      <c r="BP38" s="53">
        <v>0</v>
      </c>
      <c r="BQ38" s="52">
        <v>0</v>
      </c>
      <c r="BR38" s="51" t="e">
        <f>SUM(#REF!)</f>
        <v>#REF!</v>
      </c>
      <c r="BS38" s="51">
        <v>0</v>
      </c>
      <c r="BT38" s="53">
        <v>0</v>
      </c>
      <c r="BU38" s="53">
        <v>0</v>
      </c>
      <c r="BV38" s="53">
        <v>0</v>
      </c>
      <c r="BW38" s="53">
        <v>0</v>
      </c>
      <c r="BX38" s="53">
        <v>0</v>
      </c>
      <c r="BY38" s="53">
        <v>0</v>
      </c>
      <c r="BZ38" s="53">
        <v>0</v>
      </c>
      <c r="CA38" s="53">
        <v>0</v>
      </c>
      <c r="CB38" s="53">
        <v>0</v>
      </c>
      <c r="CC38" s="53">
        <v>0</v>
      </c>
      <c r="CD38" s="53">
        <v>0</v>
      </c>
      <c r="CE38" s="53">
        <v>0</v>
      </c>
      <c r="CF38" s="53">
        <v>0</v>
      </c>
      <c r="CG38" s="53">
        <v>0</v>
      </c>
      <c r="CH38" s="53">
        <v>0</v>
      </c>
      <c r="CI38" s="53">
        <v>0</v>
      </c>
      <c r="CJ38" s="53">
        <v>0</v>
      </c>
      <c r="CK38" s="53">
        <v>0</v>
      </c>
      <c r="CL38" s="53">
        <v>0</v>
      </c>
      <c r="CM38" s="53">
        <v>0</v>
      </c>
      <c r="CN38" s="53">
        <v>0</v>
      </c>
      <c r="CO38" s="52">
        <v>0</v>
      </c>
      <c r="CP38" s="51">
        <f>SUM(K38:$Z$38)</f>
        <v>2266085.94</v>
      </c>
      <c r="CQ38" s="51">
        <v>0</v>
      </c>
      <c r="CR38" s="53">
        <v>0</v>
      </c>
      <c r="CS38" s="53">
        <v>0</v>
      </c>
      <c r="CT38" s="53">
        <v>0</v>
      </c>
      <c r="CU38" s="53">
        <v>0</v>
      </c>
      <c r="CV38" s="53">
        <v>0</v>
      </c>
      <c r="CW38" s="53">
        <v>0</v>
      </c>
      <c r="CX38" s="53">
        <v>0</v>
      </c>
      <c r="CY38" s="53">
        <v>0</v>
      </c>
      <c r="CZ38" s="53">
        <v>0</v>
      </c>
      <c r="DA38" s="53">
        <v>0</v>
      </c>
      <c r="DB38" s="53">
        <v>0</v>
      </c>
      <c r="DC38" s="53">
        <v>0</v>
      </c>
      <c r="DD38" s="53">
        <v>0</v>
      </c>
      <c r="DE38" s="53">
        <v>0</v>
      </c>
      <c r="DF38" s="53">
        <v>0</v>
      </c>
      <c r="DG38" s="53">
        <v>0</v>
      </c>
      <c r="DH38" s="53">
        <v>0</v>
      </c>
      <c r="DI38" s="53">
        <v>0</v>
      </c>
      <c r="DJ38" s="53">
        <v>0</v>
      </c>
      <c r="DK38" s="53">
        <v>0</v>
      </c>
      <c r="DL38" s="52">
        <v>0</v>
      </c>
      <c r="DM38" s="51">
        <f>SUM(M38:$Z$38)</f>
        <v>2266085.94</v>
      </c>
      <c r="DN38" s="51">
        <v>0</v>
      </c>
      <c r="DO38" s="53">
        <v>0</v>
      </c>
      <c r="DP38" s="53">
        <v>0</v>
      </c>
      <c r="DQ38" s="53">
        <v>0</v>
      </c>
      <c r="DR38" s="53">
        <v>0</v>
      </c>
      <c r="DS38" s="53">
        <v>0</v>
      </c>
      <c r="DT38" s="53">
        <v>0</v>
      </c>
      <c r="DU38" s="53">
        <v>0</v>
      </c>
      <c r="DV38" s="53">
        <v>0</v>
      </c>
      <c r="DW38" s="53">
        <v>0</v>
      </c>
      <c r="DX38" s="53">
        <v>0</v>
      </c>
      <c r="DY38" s="53">
        <v>0</v>
      </c>
      <c r="DZ38" s="53">
        <v>0</v>
      </c>
      <c r="EA38" s="53">
        <v>0</v>
      </c>
      <c r="EB38" s="53">
        <v>0</v>
      </c>
      <c r="EC38" s="53">
        <v>0</v>
      </c>
      <c r="ED38" s="53">
        <v>0</v>
      </c>
      <c r="EE38" s="53">
        <v>0</v>
      </c>
      <c r="EF38" s="53">
        <v>0</v>
      </c>
      <c r="EG38" s="53">
        <v>0</v>
      </c>
      <c r="EH38" s="53">
        <v>0</v>
      </c>
      <c r="EI38" s="53">
        <v>0</v>
      </c>
      <c r="EJ38" s="52">
        <v>0</v>
      </c>
      <c r="EK38" s="51">
        <f>SUM(O38:$Z$38)</f>
        <v>2069659.99</v>
      </c>
      <c r="EL38" s="51">
        <v>0</v>
      </c>
      <c r="EN38" s="21"/>
    </row>
    <row r="39" spans="1:144" s="13" customFormat="1" ht="25" customHeight="1">
      <c r="A39" s="87"/>
      <c r="B39" s="11">
        <v>807</v>
      </c>
      <c r="C39" s="55" t="s">
        <v>29</v>
      </c>
      <c r="D39" s="54"/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Z39" s="52">
        <v>0</v>
      </c>
      <c r="AA39" s="54">
        <f>SUM(E39:$Z$39)-Y39</f>
        <v>0</v>
      </c>
      <c r="AB39" s="51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26448.67</v>
      </c>
      <c r="AO39" s="53">
        <v>350115.7</v>
      </c>
      <c r="AP39" s="53">
        <v>0</v>
      </c>
      <c r="AQ39" s="53">
        <v>0</v>
      </c>
      <c r="AR39" s="53">
        <v>0</v>
      </c>
      <c r="AS39" s="53">
        <v>0</v>
      </c>
      <c r="AT39" s="53">
        <v>26152.5</v>
      </c>
      <c r="AU39" s="54">
        <f>SUM(AC39:$AT$39)</f>
        <v>402716.87</v>
      </c>
      <c r="AV39" s="53">
        <v>0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0</v>
      </c>
      <c r="BG39" s="53">
        <v>0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53">
        <v>0</v>
      </c>
      <c r="BP39" s="53">
        <v>0</v>
      </c>
      <c r="BQ39" s="52">
        <v>0</v>
      </c>
      <c r="BR39" s="51" t="e">
        <f>SUM(#REF!)</f>
        <v>#REF!</v>
      </c>
      <c r="BS39" s="51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0</v>
      </c>
      <c r="CA39" s="53">
        <v>0</v>
      </c>
      <c r="CB39" s="53">
        <v>0</v>
      </c>
      <c r="CC39" s="53">
        <v>0</v>
      </c>
      <c r="CD39" s="53">
        <v>0</v>
      </c>
      <c r="CE39" s="53">
        <v>0</v>
      </c>
      <c r="CF39" s="53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0</v>
      </c>
      <c r="CM39" s="53">
        <v>0</v>
      </c>
      <c r="CN39" s="53">
        <v>0</v>
      </c>
      <c r="CO39" s="52">
        <v>0</v>
      </c>
      <c r="CP39" s="51">
        <f>SUM(K39:$Z$39)</f>
        <v>0</v>
      </c>
      <c r="CQ39" s="51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0</v>
      </c>
      <c r="DA39" s="53">
        <v>0</v>
      </c>
      <c r="DB39" s="53">
        <v>0</v>
      </c>
      <c r="DC39" s="53">
        <v>0</v>
      </c>
      <c r="DD39" s="53">
        <v>0</v>
      </c>
      <c r="DE39" s="53">
        <v>0</v>
      </c>
      <c r="DF39" s="53">
        <v>0</v>
      </c>
      <c r="DG39" s="53">
        <v>0</v>
      </c>
      <c r="DH39" s="53">
        <v>0</v>
      </c>
      <c r="DI39" s="53">
        <v>0</v>
      </c>
      <c r="DJ39" s="53">
        <v>0</v>
      </c>
      <c r="DK39" s="53">
        <v>0</v>
      </c>
      <c r="DL39" s="52">
        <v>0</v>
      </c>
      <c r="DM39" s="51">
        <f>SUM(M39:$Z$39)</f>
        <v>0</v>
      </c>
      <c r="DN39" s="51">
        <v>0</v>
      </c>
      <c r="DO39" s="53">
        <v>0</v>
      </c>
      <c r="DP39" s="53">
        <v>0</v>
      </c>
      <c r="DQ39" s="53">
        <v>0</v>
      </c>
      <c r="DR39" s="53">
        <v>0</v>
      </c>
      <c r="DS39" s="53">
        <v>0</v>
      </c>
      <c r="DT39" s="53">
        <v>0</v>
      </c>
      <c r="DU39" s="53">
        <v>0</v>
      </c>
      <c r="DV39" s="53">
        <v>0</v>
      </c>
      <c r="DW39" s="53">
        <v>0</v>
      </c>
      <c r="DX39" s="53">
        <v>0</v>
      </c>
      <c r="DY39" s="53">
        <v>0</v>
      </c>
      <c r="DZ39" s="53">
        <v>0</v>
      </c>
      <c r="EA39" s="53">
        <v>0</v>
      </c>
      <c r="EB39" s="53">
        <v>0</v>
      </c>
      <c r="EC39" s="53">
        <v>0</v>
      </c>
      <c r="ED39" s="53">
        <v>0</v>
      </c>
      <c r="EE39" s="53">
        <v>0</v>
      </c>
      <c r="EF39" s="53">
        <v>0</v>
      </c>
      <c r="EG39" s="53">
        <v>0</v>
      </c>
      <c r="EH39" s="53">
        <v>0</v>
      </c>
      <c r="EI39" s="53">
        <v>0</v>
      </c>
      <c r="EJ39" s="52">
        <v>0</v>
      </c>
      <c r="EK39" s="51">
        <f>SUM(O39:$Z$39)</f>
        <v>0</v>
      </c>
      <c r="EL39" s="51">
        <v>0</v>
      </c>
      <c r="EN39" s="21"/>
    </row>
    <row r="40" spans="1:144" s="13" customFormat="1" ht="25" customHeight="1">
      <c r="A40" s="87"/>
      <c r="B40" s="11">
        <v>814</v>
      </c>
      <c r="C40" s="55" t="s">
        <v>28</v>
      </c>
      <c r="D40" s="54"/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536514.84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Z40" s="52">
        <v>0</v>
      </c>
      <c r="AA40" s="54">
        <f>SUM(E40:$Z$40)-Y40</f>
        <v>536514.84</v>
      </c>
      <c r="AB40" s="51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4">
        <f>SUM(AC40:$AT$40)</f>
        <v>0</v>
      </c>
      <c r="AV40" s="53">
        <v>0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3">
        <v>0</v>
      </c>
      <c r="BP40" s="53">
        <v>0</v>
      </c>
      <c r="BQ40" s="52">
        <v>0</v>
      </c>
      <c r="BR40" s="51" t="e">
        <f>SUM(#REF!)</f>
        <v>#REF!</v>
      </c>
      <c r="BS40" s="51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  <c r="CD40" s="53">
        <v>0</v>
      </c>
      <c r="CE40" s="53">
        <v>0</v>
      </c>
      <c r="CF40" s="53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0</v>
      </c>
      <c r="CN40" s="53">
        <v>0</v>
      </c>
      <c r="CO40" s="52">
        <v>0</v>
      </c>
      <c r="CP40" s="51">
        <f>SUM(K40:$Z$40)</f>
        <v>536514.84</v>
      </c>
      <c r="CQ40" s="51">
        <v>0</v>
      </c>
      <c r="CR40" s="53">
        <v>0</v>
      </c>
      <c r="CS40" s="53">
        <v>0</v>
      </c>
      <c r="CT40" s="53">
        <v>0</v>
      </c>
      <c r="CU40" s="53">
        <v>0</v>
      </c>
      <c r="CV40" s="53">
        <v>0</v>
      </c>
      <c r="CW40" s="53">
        <v>0</v>
      </c>
      <c r="CX40" s="53">
        <v>0</v>
      </c>
      <c r="CY40" s="53">
        <v>0</v>
      </c>
      <c r="CZ40" s="53">
        <v>0</v>
      </c>
      <c r="DA40" s="53">
        <v>0</v>
      </c>
      <c r="DB40" s="53">
        <v>0</v>
      </c>
      <c r="DC40" s="53">
        <v>0</v>
      </c>
      <c r="DD40" s="53">
        <v>0</v>
      </c>
      <c r="DE40" s="53">
        <v>0</v>
      </c>
      <c r="DF40" s="53">
        <v>0</v>
      </c>
      <c r="DG40" s="53">
        <v>0</v>
      </c>
      <c r="DH40" s="53">
        <v>0</v>
      </c>
      <c r="DI40" s="53">
        <v>0</v>
      </c>
      <c r="DJ40" s="53">
        <v>0</v>
      </c>
      <c r="DK40" s="53">
        <v>0</v>
      </c>
      <c r="DL40" s="52">
        <v>0</v>
      </c>
      <c r="DM40" s="51">
        <f>SUM(M40:$Z$40)</f>
        <v>536514.84</v>
      </c>
      <c r="DN40" s="51">
        <v>0</v>
      </c>
      <c r="DO40" s="53">
        <v>0</v>
      </c>
      <c r="DP40" s="53">
        <v>0</v>
      </c>
      <c r="DQ40" s="53">
        <v>0</v>
      </c>
      <c r="DR40" s="53">
        <v>0</v>
      </c>
      <c r="DS40" s="53">
        <v>0</v>
      </c>
      <c r="DT40" s="53">
        <v>0</v>
      </c>
      <c r="DU40" s="53">
        <v>0</v>
      </c>
      <c r="DV40" s="53">
        <v>0</v>
      </c>
      <c r="DW40" s="53">
        <v>0</v>
      </c>
      <c r="DX40" s="53">
        <v>0</v>
      </c>
      <c r="DY40" s="53">
        <v>0</v>
      </c>
      <c r="DZ40" s="53">
        <v>0</v>
      </c>
      <c r="EA40" s="53">
        <v>0</v>
      </c>
      <c r="EB40" s="53">
        <v>0</v>
      </c>
      <c r="EC40" s="53">
        <v>0</v>
      </c>
      <c r="ED40" s="53">
        <v>0</v>
      </c>
      <c r="EE40" s="53">
        <v>0</v>
      </c>
      <c r="EF40" s="53">
        <v>0</v>
      </c>
      <c r="EG40" s="53">
        <v>0</v>
      </c>
      <c r="EH40" s="53">
        <v>0</v>
      </c>
      <c r="EI40" s="53">
        <v>0</v>
      </c>
      <c r="EJ40" s="52">
        <v>0</v>
      </c>
      <c r="EK40" s="51">
        <f>SUM(O40:$Z$40)</f>
        <v>536514.84</v>
      </c>
      <c r="EL40" s="51">
        <v>0</v>
      </c>
      <c r="EN40" s="21"/>
    </row>
    <row r="41" spans="1:144" s="13" customFormat="1" ht="25" customHeight="1">
      <c r="A41" s="87"/>
      <c r="B41" s="11">
        <v>905</v>
      </c>
      <c r="C41" s="55" t="s">
        <v>27</v>
      </c>
      <c r="D41" s="54"/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5061610.4800000004</v>
      </c>
      <c r="V41" s="53">
        <v>0</v>
      </c>
      <c r="W41" s="53">
        <v>0</v>
      </c>
      <c r="X41" s="53">
        <v>0</v>
      </c>
      <c r="Z41" s="52">
        <v>0</v>
      </c>
      <c r="AA41" s="54">
        <f>SUM(E41:$Z$41)-Y41</f>
        <v>5061610.4800000004</v>
      </c>
      <c r="AB41" s="51">
        <f>5156403-AA41</f>
        <v>94792.519999999553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5729183.2699999996</v>
      </c>
      <c r="AT41" s="53">
        <v>0</v>
      </c>
      <c r="AU41" s="54">
        <f>SUM(AC41:$AT$41)</f>
        <v>5729183.2699999996</v>
      </c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2">
        <v>0</v>
      </c>
      <c r="BR41" s="51" t="e">
        <f>SUM(#REF!)</f>
        <v>#REF!</v>
      </c>
      <c r="BS41" s="51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  <c r="CD41" s="53">
        <v>0</v>
      </c>
      <c r="CE41" s="53">
        <v>0</v>
      </c>
      <c r="CF41" s="53">
        <v>0</v>
      </c>
      <c r="CG41" s="53">
        <v>0</v>
      </c>
      <c r="CH41" s="53">
        <v>0</v>
      </c>
      <c r="CI41" s="53">
        <v>0</v>
      </c>
      <c r="CJ41" s="53">
        <v>0</v>
      </c>
      <c r="CK41" s="53">
        <v>0</v>
      </c>
      <c r="CL41" s="53">
        <v>0</v>
      </c>
      <c r="CM41" s="53">
        <v>0</v>
      </c>
      <c r="CN41" s="53">
        <v>0</v>
      </c>
      <c r="CO41" s="52">
        <v>0</v>
      </c>
      <c r="CP41" s="51">
        <f>SUM(K41:$Z$41)</f>
        <v>5061610.4800000004</v>
      </c>
      <c r="CQ41" s="51">
        <v>0</v>
      </c>
      <c r="CR41" s="53">
        <v>0</v>
      </c>
      <c r="CS41" s="53">
        <v>0</v>
      </c>
      <c r="CT41" s="53">
        <v>0</v>
      </c>
      <c r="CU41" s="53">
        <v>0</v>
      </c>
      <c r="CV41" s="53">
        <v>0</v>
      </c>
      <c r="CW41" s="53">
        <v>0</v>
      </c>
      <c r="CX41" s="53">
        <v>0</v>
      </c>
      <c r="CY41" s="53">
        <v>0</v>
      </c>
      <c r="CZ41" s="53">
        <v>0</v>
      </c>
      <c r="DA41" s="53">
        <v>0</v>
      </c>
      <c r="DB41" s="53">
        <v>0</v>
      </c>
      <c r="DC41" s="53">
        <v>0</v>
      </c>
      <c r="DD41" s="53">
        <v>0</v>
      </c>
      <c r="DE41" s="53">
        <v>0</v>
      </c>
      <c r="DF41" s="53">
        <v>0</v>
      </c>
      <c r="DG41" s="53">
        <v>0</v>
      </c>
      <c r="DH41" s="53">
        <v>0</v>
      </c>
      <c r="DI41" s="53">
        <v>0</v>
      </c>
      <c r="DJ41" s="53">
        <v>0</v>
      </c>
      <c r="DK41" s="53">
        <v>0</v>
      </c>
      <c r="DL41" s="52">
        <v>0</v>
      </c>
      <c r="DM41" s="51">
        <f>SUM(M41:$Z$41)</f>
        <v>5061610.4800000004</v>
      </c>
      <c r="DN41" s="51">
        <v>0</v>
      </c>
      <c r="DO41" s="53">
        <v>0</v>
      </c>
      <c r="DP41" s="53">
        <v>0</v>
      </c>
      <c r="DQ41" s="53">
        <v>0</v>
      </c>
      <c r="DR41" s="53">
        <v>0</v>
      </c>
      <c r="DS41" s="53">
        <v>0</v>
      </c>
      <c r="DT41" s="53">
        <v>0</v>
      </c>
      <c r="DU41" s="53">
        <v>0</v>
      </c>
      <c r="DV41" s="53">
        <v>0</v>
      </c>
      <c r="DW41" s="53">
        <v>0</v>
      </c>
      <c r="DX41" s="53">
        <v>0</v>
      </c>
      <c r="DY41" s="53">
        <v>0</v>
      </c>
      <c r="DZ41" s="53">
        <v>0</v>
      </c>
      <c r="EA41" s="53">
        <v>0</v>
      </c>
      <c r="EB41" s="53">
        <v>0</v>
      </c>
      <c r="EC41" s="53">
        <v>0</v>
      </c>
      <c r="ED41" s="53">
        <v>0</v>
      </c>
      <c r="EE41" s="53">
        <v>0</v>
      </c>
      <c r="EF41" s="53">
        <v>0</v>
      </c>
      <c r="EG41" s="53">
        <v>0</v>
      </c>
      <c r="EH41" s="53">
        <v>0</v>
      </c>
      <c r="EI41" s="53">
        <v>0</v>
      </c>
      <c r="EJ41" s="52">
        <v>0</v>
      </c>
      <c r="EK41" s="51">
        <f>SUM(O41:$Z$41)</f>
        <v>5061610.4800000004</v>
      </c>
      <c r="EL41" s="51">
        <v>0</v>
      </c>
      <c r="EN41" s="21"/>
    </row>
    <row r="42" spans="1:144" s="13" customFormat="1" ht="25" customHeight="1" thickBot="1">
      <c r="A42" s="87"/>
      <c r="B42" s="11">
        <v>940</v>
      </c>
      <c r="C42" s="102" t="s">
        <v>26</v>
      </c>
      <c r="D42" s="101"/>
      <c r="E42" s="100">
        <v>0</v>
      </c>
      <c r="F42" s="100">
        <v>0</v>
      </c>
      <c r="G42" s="100">
        <v>0</v>
      </c>
      <c r="H42" s="100">
        <v>0</v>
      </c>
      <c r="I42" s="100">
        <v>30000000</v>
      </c>
      <c r="J42" s="100">
        <v>20000000</v>
      </c>
      <c r="K42" s="100">
        <v>10000000</v>
      </c>
      <c r="L42" s="100">
        <v>10000000</v>
      </c>
      <c r="M42" s="100">
        <v>10000000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47500000</v>
      </c>
      <c r="V42" s="100">
        <v>0</v>
      </c>
      <c r="W42" s="100">
        <v>0</v>
      </c>
      <c r="X42" s="100">
        <v>0</v>
      </c>
      <c r="Z42" s="99">
        <v>0</v>
      </c>
      <c r="AA42" s="101">
        <f>SUM(E42:$Z$42)-Y42</f>
        <v>127500000</v>
      </c>
      <c r="AB42" s="98">
        <f>134527299-AA42</f>
        <v>7027299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25000000</v>
      </c>
      <c r="AJ42" s="100">
        <v>0</v>
      </c>
      <c r="AK42" s="100">
        <v>25000000</v>
      </c>
      <c r="AL42" s="100">
        <v>25000000</v>
      </c>
      <c r="AM42" s="100">
        <v>0</v>
      </c>
      <c r="AN42" s="100">
        <v>0</v>
      </c>
      <c r="AO42" s="100">
        <v>0</v>
      </c>
      <c r="AP42" s="100">
        <v>24800000</v>
      </c>
      <c r="AQ42" s="100">
        <v>0</v>
      </c>
      <c r="AR42" s="100">
        <v>0</v>
      </c>
      <c r="AS42" s="100">
        <v>0</v>
      </c>
      <c r="AT42" s="100">
        <v>0</v>
      </c>
      <c r="AU42" s="101">
        <f>SUM(AC42:$AT$42)</f>
        <v>99800000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0">
        <v>0</v>
      </c>
      <c r="BB42" s="100">
        <v>0</v>
      </c>
      <c r="BC42" s="100">
        <v>0</v>
      </c>
      <c r="BD42" s="100">
        <v>0</v>
      </c>
      <c r="BE42" s="100">
        <v>0</v>
      </c>
      <c r="BF42" s="100">
        <v>0</v>
      </c>
      <c r="BG42" s="100">
        <v>0</v>
      </c>
      <c r="BH42" s="100">
        <v>0</v>
      </c>
      <c r="BI42" s="100">
        <v>0</v>
      </c>
      <c r="BJ42" s="100">
        <v>0</v>
      </c>
      <c r="BK42" s="100">
        <v>0</v>
      </c>
      <c r="BL42" s="100">
        <v>0</v>
      </c>
      <c r="BM42" s="100">
        <v>0</v>
      </c>
      <c r="BN42" s="100">
        <v>0</v>
      </c>
      <c r="BO42" s="100">
        <v>0</v>
      </c>
      <c r="BP42" s="100">
        <v>0</v>
      </c>
      <c r="BQ42" s="99">
        <v>0</v>
      </c>
      <c r="BR42" s="98" t="e">
        <f>SUM(#REF!)</f>
        <v>#REF!</v>
      </c>
      <c r="BS42" s="98">
        <v>0</v>
      </c>
      <c r="BT42" s="100">
        <v>0</v>
      </c>
      <c r="BU42" s="100">
        <v>0</v>
      </c>
      <c r="BV42" s="100">
        <v>0</v>
      </c>
      <c r="BW42" s="100">
        <v>0</v>
      </c>
      <c r="BX42" s="100">
        <v>0</v>
      </c>
      <c r="BY42" s="100">
        <v>0</v>
      </c>
      <c r="BZ42" s="100">
        <v>0</v>
      </c>
      <c r="CA42" s="100">
        <v>0</v>
      </c>
      <c r="CB42" s="100">
        <v>0</v>
      </c>
      <c r="CC42" s="100">
        <v>0</v>
      </c>
      <c r="CD42" s="100">
        <v>0</v>
      </c>
      <c r="CE42" s="100">
        <v>0</v>
      </c>
      <c r="CF42" s="100">
        <v>0</v>
      </c>
      <c r="CG42" s="100">
        <v>0</v>
      </c>
      <c r="CH42" s="100">
        <v>0</v>
      </c>
      <c r="CI42" s="100">
        <v>0</v>
      </c>
      <c r="CJ42" s="100">
        <v>0</v>
      </c>
      <c r="CK42" s="100">
        <v>0</v>
      </c>
      <c r="CL42" s="100">
        <v>0</v>
      </c>
      <c r="CM42" s="100">
        <v>0</v>
      </c>
      <c r="CN42" s="100">
        <v>0</v>
      </c>
      <c r="CO42" s="99">
        <v>0</v>
      </c>
      <c r="CP42" s="98">
        <f>SUM(K42:$Z$42)</f>
        <v>77500000</v>
      </c>
      <c r="CQ42" s="98">
        <v>0</v>
      </c>
      <c r="CR42" s="100">
        <v>0</v>
      </c>
      <c r="CS42" s="100">
        <v>0</v>
      </c>
      <c r="CT42" s="100">
        <v>0</v>
      </c>
      <c r="CU42" s="100">
        <v>0</v>
      </c>
      <c r="CV42" s="100">
        <v>0</v>
      </c>
      <c r="CW42" s="100">
        <v>0</v>
      </c>
      <c r="CX42" s="100">
        <v>0</v>
      </c>
      <c r="CY42" s="100">
        <v>0</v>
      </c>
      <c r="CZ42" s="100">
        <v>0</v>
      </c>
      <c r="DA42" s="100">
        <v>0</v>
      </c>
      <c r="DB42" s="100">
        <v>0</v>
      </c>
      <c r="DC42" s="100">
        <v>0</v>
      </c>
      <c r="DD42" s="100">
        <v>0</v>
      </c>
      <c r="DE42" s="100">
        <v>0</v>
      </c>
      <c r="DF42" s="100">
        <v>0</v>
      </c>
      <c r="DG42" s="100">
        <v>0</v>
      </c>
      <c r="DH42" s="100">
        <v>0</v>
      </c>
      <c r="DI42" s="100">
        <v>0</v>
      </c>
      <c r="DJ42" s="100">
        <v>0</v>
      </c>
      <c r="DK42" s="100">
        <v>0</v>
      </c>
      <c r="DL42" s="99">
        <v>0</v>
      </c>
      <c r="DM42" s="98">
        <f>SUM(M42:$Z$42)</f>
        <v>57500000</v>
      </c>
      <c r="DN42" s="98">
        <v>0</v>
      </c>
      <c r="DO42" s="100">
        <v>0</v>
      </c>
      <c r="DP42" s="100">
        <v>0</v>
      </c>
      <c r="DQ42" s="100">
        <v>0</v>
      </c>
      <c r="DR42" s="100">
        <v>0</v>
      </c>
      <c r="DS42" s="100">
        <v>0</v>
      </c>
      <c r="DT42" s="100">
        <v>0</v>
      </c>
      <c r="DU42" s="100">
        <v>0</v>
      </c>
      <c r="DV42" s="100">
        <v>0</v>
      </c>
      <c r="DW42" s="100">
        <v>0</v>
      </c>
      <c r="DX42" s="100">
        <v>0</v>
      </c>
      <c r="DY42" s="100">
        <v>0</v>
      </c>
      <c r="DZ42" s="100">
        <v>0</v>
      </c>
      <c r="EA42" s="100">
        <v>0</v>
      </c>
      <c r="EB42" s="100">
        <v>0</v>
      </c>
      <c r="EC42" s="100">
        <v>0</v>
      </c>
      <c r="ED42" s="100">
        <v>0</v>
      </c>
      <c r="EE42" s="100">
        <v>0</v>
      </c>
      <c r="EF42" s="100">
        <v>0</v>
      </c>
      <c r="EG42" s="100">
        <v>0</v>
      </c>
      <c r="EH42" s="100">
        <v>0</v>
      </c>
      <c r="EI42" s="100">
        <v>0</v>
      </c>
      <c r="EJ42" s="99">
        <v>0</v>
      </c>
      <c r="EK42" s="98">
        <f>SUM(O42:$Z$42)</f>
        <v>47500000</v>
      </c>
      <c r="EL42" s="98">
        <v>0</v>
      </c>
      <c r="EN42" s="21"/>
    </row>
    <row r="43" spans="1:144" s="92" customFormat="1" ht="25" customHeight="1" thickBot="1">
      <c r="A43" s="97"/>
      <c r="B43" s="11"/>
      <c r="C43" s="96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Z43" s="95"/>
      <c r="AA43" s="94"/>
      <c r="AB43" s="94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4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4"/>
      <c r="BS43" s="94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4"/>
      <c r="CQ43" s="94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4"/>
      <c r="DN43" s="94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4"/>
      <c r="EL43" s="94"/>
      <c r="EN43" s="93"/>
    </row>
    <row r="44" spans="1:144" s="65" customFormat="1" ht="25" customHeight="1">
      <c r="A44" s="81"/>
      <c r="B44" s="86"/>
      <c r="C44" s="72" t="s">
        <v>25</v>
      </c>
      <c r="D44" s="71"/>
      <c r="E44" s="70">
        <f t="shared" ref="E44:X44" si="48">SUM(E45:E58)-E47</f>
        <v>14766701.479999997</v>
      </c>
      <c r="F44" s="70">
        <f t="shared" si="48"/>
        <v>12503635.029999997</v>
      </c>
      <c r="G44" s="70">
        <f t="shared" si="48"/>
        <v>23623554.25</v>
      </c>
      <c r="H44" s="70">
        <f t="shared" si="48"/>
        <v>12182852.899999999</v>
      </c>
      <c r="I44" s="70">
        <f t="shared" si="48"/>
        <v>23630907.650000002</v>
      </c>
      <c r="J44" s="70">
        <f t="shared" si="48"/>
        <v>20835347.970000003</v>
      </c>
      <c r="K44" s="70">
        <f t="shared" si="48"/>
        <v>15400711.520000001</v>
      </c>
      <c r="L44" s="70">
        <f t="shared" si="48"/>
        <v>15139029.23</v>
      </c>
      <c r="M44" s="70">
        <f t="shared" si="48"/>
        <v>15960425.529999999</v>
      </c>
      <c r="N44" s="70">
        <f t="shared" si="48"/>
        <v>16922399.5</v>
      </c>
      <c r="O44" s="70">
        <f t="shared" si="48"/>
        <v>35905652.079999998</v>
      </c>
      <c r="P44" s="70">
        <f t="shared" si="48"/>
        <v>15866219.74</v>
      </c>
      <c r="Q44" s="70">
        <f t="shared" si="48"/>
        <v>19505280.849999998</v>
      </c>
      <c r="R44" s="70">
        <f t="shared" si="48"/>
        <v>16431622.300000001</v>
      </c>
      <c r="S44" s="70">
        <f t="shared" si="48"/>
        <v>16686926.340000002</v>
      </c>
      <c r="T44" s="70">
        <f t="shared" si="48"/>
        <v>37374242.969999999</v>
      </c>
      <c r="U44" s="70">
        <f t="shared" si="48"/>
        <v>16419213.150000002</v>
      </c>
      <c r="V44" s="70">
        <f t="shared" si="48"/>
        <v>16850508.34</v>
      </c>
      <c r="W44" s="70">
        <f t="shared" si="48"/>
        <v>16881653.68</v>
      </c>
      <c r="X44" s="70">
        <f t="shared" si="48"/>
        <v>20789983.639999997</v>
      </c>
      <c r="Z44" s="69">
        <f t="shared" ref="Z44:AU44" si="49">SUM(Z45:Z58)-Z47</f>
        <v>34715660.560000002</v>
      </c>
      <c r="AA44" s="71">
        <f t="shared" si="49"/>
        <v>418392528.70999998</v>
      </c>
      <c r="AB44" s="68">
        <f t="shared" si="49"/>
        <v>21679405.929999977</v>
      </c>
      <c r="AC44" s="70">
        <v>16538095.810000001</v>
      </c>
      <c r="AD44" s="70">
        <v>18287283.880000003</v>
      </c>
      <c r="AE44" s="70">
        <v>17397760.669999998</v>
      </c>
      <c r="AF44" s="70">
        <v>18033456.810000002</v>
      </c>
      <c r="AG44" s="70">
        <v>33015744.729999997</v>
      </c>
      <c r="AH44" s="70">
        <v>16854506.93</v>
      </c>
      <c r="AI44" s="70">
        <v>12841697.640000001</v>
      </c>
      <c r="AJ44" s="70">
        <v>24645410.779999997</v>
      </c>
      <c r="AK44" s="70">
        <v>17125778.149999999</v>
      </c>
      <c r="AL44" s="70">
        <v>1757316.3700000017</v>
      </c>
      <c r="AM44" s="70">
        <f t="shared" ref="AM44:AN44" si="50">SUM(AM45:AM58)-AM47</f>
        <v>55477845.070000015</v>
      </c>
      <c r="AN44" s="70">
        <f t="shared" si="50"/>
        <v>17300825.890000001</v>
      </c>
      <c r="AO44" s="70">
        <f t="shared" ref="AO44" si="51">SUM(AO45:AO58)-AO47</f>
        <v>20229895.609999996</v>
      </c>
      <c r="AP44" s="70">
        <f t="shared" ref="AP44" si="52">SUM(AP45:AP58)-AP47</f>
        <v>19122723.969999999</v>
      </c>
      <c r="AQ44" s="70">
        <f t="shared" ref="AQ44:AT44" si="53">SUM(AQ45:AQ58)-AQ47</f>
        <v>48532697.089999996</v>
      </c>
      <c r="AR44" s="70">
        <f t="shared" ref="AR44:AT44" si="54">SUM(AR45:AR58)-AR47</f>
        <v>14079404.77</v>
      </c>
      <c r="AS44" s="70">
        <f t="shared" si="54"/>
        <v>20115249.879999999</v>
      </c>
      <c r="AT44" s="70">
        <f t="shared" si="54"/>
        <v>36920206.340000004</v>
      </c>
      <c r="AU44" s="71">
        <f t="shared" si="49"/>
        <v>408275900.39000005</v>
      </c>
      <c r="AV44" s="70" t="e">
        <f>SUM(AV45:AV58)-#REF!-#REF!-AV47</f>
        <v>#REF!</v>
      </c>
      <c r="AW44" s="70" t="e">
        <f>SUM(AW45:AW58)-#REF!-#REF!-AW47</f>
        <v>#REF!</v>
      </c>
      <c r="AX44" s="70" t="e">
        <f>SUM(AX45:AX58)-#REF!-#REF!-AX47</f>
        <v>#REF!</v>
      </c>
      <c r="AY44" s="70" t="e">
        <f>SUM(AY45:AY58)-#REF!-#REF!-AY47</f>
        <v>#REF!</v>
      </c>
      <c r="AZ44" s="70" t="e">
        <f>SUM(AZ45:AZ58)-#REF!-#REF!-AZ47</f>
        <v>#REF!</v>
      </c>
      <c r="BA44" s="70" t="e">
        <f>SUM(BA45:BA58)-#REF!-#REF!-BA47</f>
        <v>#REF!</v>
      </c>
      <c r="BB44" s="70" t="e">
        <f>SUM(BB45:BB58)-#REF!-#REF!-BB47</f>
        <v>#REF!</v>
      </c>
      <c r="BC44" s="70" t="e">
        <f>SUM(BC45:BC58)-#REF!-#REF!-BC47</f>
        <v>#REF!</v>
      </c>
      <c r="BD44" s="70" t="e">
        <f>SUM(BD45:BD58)-#REF!-#REF!-BD47</f>
        <v>#REF!</v>
      </c>
      <c r="BE44" s="70" t="e">
        <f>SUM(BE45:BE58)-#REF!-#REF!-BE47</f>
        <v>#REF!</v>
      </c>
      <c r="BF44" s="70" t="e">
        <f>SUM(BF45:BF58)-#REF!-#REF!-BF47</f>
        <v>#REF!</v>
      </c>
      <c r="BG44" s="70" t="e">
        <f>SUM(BG45:BG58)-#REF!-#REF!-BG47</f>
        <v>#REF!</v>
      </c>
      <c r="BH44" s="70" t="e">
        <f>SUM(BH45:BH58)-#REF!-#REF!-BH47</f>
        <v>#REF!</v>
      </c>
      <c r="BI44" s="70" t="e">
        <f>SUM(BI45:BI58)-#REF!-#REF!-BI47</f>
        <v>#REF!</v>
      </c>
      <c r="BJ44" s="70" t="e">
        <f>SUM(BJ45:BJ58)-#REF!-#REF!-BJ47</f>
        <v>#REF!</v>
      </c>
      <c r="BK44" s="70" t="e">
        <f>SUM(BK45:BK58)-#REF!-#REF!-BK47</f>
        <v>#REF!</v>
      </c>
      <c r="BL44" s="70" t="e">
        <f>SUM(BL45:BL58)-#REF!-#REF!-BL47</f>
        <v>#REF!</v>
      </c>
      <c r="BM44" s="70" t="e">
        <f>SUM(BM45:BM58)-#REF!-#REF!-BM47</f>
        <v>#REF!</v>
      </c>
      <c r="BN44" s="70" t="e">
        <f>SUM(BN45:BN58)-#REF!-#REF!-BN47</f>
        <v>#REF!</v>
      </c>
      <c r="BO44" s="70" t="e">
        <f>SUM(BO45:BO58)-#REF!-#REF!-BO47</f>
        <v>#REF!</v>
      </c>
      <c r="BP44" s="70" t="e">
        <f>SUM(BP45:BP58)-#REF!-#REF!-BP47</f>
        <v>#REF!</v>
      </c>
      <c r="BQ44" s="69" t="e">
        <f>SUM(BQ45:BQ58)-#REF!-#REF!-BQ47</f>
        <v>#REF!</v>
      </c>
      <c r="BR44" s="68" t="e">
        <f>SUM(BR45:BR58)-#REF!-#REF!-BR47</f>
        <v>#REF!</v>
      </c>
      <c r="BS44" s="68" t="e">
        <f>SUM(BS45:BS58)-#REF!-#REF!-BS47</f>
        <v>#REF!</v>
      </c>
      <c r="BT44" s="70" t="e">
        <f>SUM(BT45:BT58)-#REF!-#REF!-BT47</f>
        <v>#REF!</v>
      </c>
      <c r="BU44" s="70" t="e">
        <f>SUM(BU45:BU58)-#REF!-#REF!-BU47</f>
        <v>#REF!</v>
      </c>
      <c r="BV44" s="70" t="e">
        <f>SUM(BV45:BV58)-#REF!-#REF!-BV47</f>
        <v>#REF!</v>
      </c>
      <c r="BW44" s="70" t="e">
        <f>SUM(BW45:BW58)-#REF!-#REF!-BW47</f>
        <v>#REF!</v>
      </c>
      <c r="BX44" s="70" t="e">
        <f>SUM(BX45:BX58)-#REF!-#REF!-BX47</f>
        <v>#REF!</v>
      </c>
      <c r="BY44" s="70" t="e">
        <f>SUM(BY45:BY58)-#REF!-#REF!-BY47</f>
        <v>#REF!</v>
      </c>
      <c r="BZ44" s="70" t="e">
        <f>SUM(BZ45:BZ58)-#REF!-#REF!-BZ47</f>
        <v>#REF!</v>
      </c>
      <c r="CA44" s="70" t="e">
        <f>SUM(CA45:CA58)-#REF!-#REF!-CA47</f>
        <v>#REF!</v>
      </c>
      <c r="CB44" s="70" t="e">
        <f>SUM(CB45:CB58)-#REF!-#REF!-CB47</f>
        <v>#REF!</v>
      </c>
      <c r="CC44" s="70" t="e">
        <f>SUM(CC45:CC58)-#REF!-#REF!-CC47</f>
        <v>#REF!</v>
      </c>
      <c r="CD44" s="70" t="e">
        <f>SUM(CD45:CD58)-#REF!-#REF!-CD47</f>
        <v>#REF!</v>
      </c>
      <c r="CE44" s="70" t="e">
        <f>SUM(CE45:CE58)-#REF!-#REF!-CE47</f>
        <v>#REF!</v>
      </c>
      <c r="CF44" s="70" t="e">
        <f>SUM(CF45:CF58)-#REF!-#REF!-CF47</f>
        <v>#REF!</v>
      </c>
      <c r="CG44" s="70" t="e">
        <f>SUM(CG45:CG58)-#REF!-#REF!-CG47</f>
        <v>#REF!</v>
      </c>
      <c r="CH44" s="70" t="e">
        <f>SUM(CH45:CH58)-#REF!-#REF!-CH47</f>
        <v>#REF!</v>
      </c>
      <c r="CI44" s="70" t="e">
        <f>SUM(CI45:CI58)-#REF!-#REF!-CI47</f>
        <v>#REF!</v>
      </c>
      <c r="CJ44" s="70" t="e">
        <f>SUM(CJ45:CJ58)-#REF!-#REF!-CJ47</f>
        <v>#REF!</v>
      </c>
      <c r="CK44" s="70" t="e">
        <f>SUM(CK45:CK58)-#REF!-#REF!-CK47</f>
        <v>#REF!</v>
      </c>
      <c r="CL44" s="70" t="e">
        <f>SUM(CL45:CL58)-#REF!-#REF!-CL47</f>
        <v>#REF!</v>
      </c>
      <c r="CM44" s="70" t="e">
        <f>SUM(CM45:CM58)-#REF!-#REF!-CM47</f>
        <v>#REF!</v>
      </c>
      <c r="CN44" s="70" t="e">
        <f>SUM(CN45:CN58)-#REF!-#REF!-CN47</f>
        <v>#REF!</v>
      </c>
      <c r="CO44" s="69" t="e">
        <f>SUM(CO45:CO58)-#REF!-#REF!-CO47</f>
        <v>#REF!</v>
      </c>
      <c r="CP44" s="68" t="e">
        <f>SUM(CP45:CP58)-#REF!-#REF!-CP47</f>
        <v>#REF!</v>
      </c>
      <c r="CQ44" s="68" t="e">
        <f>SUM(CQ45:CQ58)-#REF!-#REF!-CQ47</f>
        <v>#REF!</v>
      </c>
      <c r="CR44" s="70" t="e">
        <f>SUM(CR45:CR58)-#REF!-#REF!-CR47</f>
        <v>#REF!</v>
      </c>
      <c r="CS44" s="70" t="e">
        <f>SUM(CS45:CS58)-#REF!-#REF!-CS47</f>
        <v>#REF!</v>
      </c>
      <c r="CT44" s="70" t="e">
        <f>SUM(CT45:CT58)-#REF!-#REF!-CT47</f>
        <v>#REF!</v>
      </c>
      <c r="CU44" s="70" t="e">
        <f>SUM(CU45:CU58)-#REF!-#REF!-CU47</f>
        <v>#REF!</v>
      </c>
      <c r="CV44" s="70" t="e">
        <f>SUM(CV45:CV58)-#REF!-#REF!-CV47</f>
        <v>#REF!</v>
      </c>
      <c r="CW44" s="70" t="e">
        <f>SUM(CW45:CW58)-#REF!-#REF!-CW47</f>
        <v>#REF!</v>
      </c>
      <c r="CX44" s="70" t="e">
        <f>SUM(CX45:CX58)-#REF!-#REF!-CX47</f>
        <v>#REF!</v>
      </c>
      <c r="CY44" s="70" t="e">
        <f>SUM(CY45:CY58)-#REF!-#REF!-CY47</f>
        <v>#REF!</v>
      </c>
      <c r="CZ44" s="70" t="e">
        <f>SUM(CZ45:CZ58)-#REF!-#REF!-CZ47</f>
        <v>#REF!</v>
      </c>
      <c r="DA44" s="70" t="e">
        <f>SUM(DA45:DA58)-#REF!-#REF!-DA47</f>
        <v>#REF!</v>
      </c>
      <c r="DB44" s="70" t="e">
        <f>SUM(DB45:DB58)-#REF!-#REF!-DB47</f>
        <v>#REF!</v>
      </c>
      <c r="DC44" s="70" t="e">
        <f>SUM(DC45:DC58)-#REF!-#REF!-DC47</f>
        <v>#REF!</v>
      </c>
      <c r="DD44" s="70" t="e">
        <f>SUM(DD45:DD58)-#REF!-#REF!-DD47</f>
        <v>#REF!</v>
      </c>
      <c r="DE44" s="70" t="e">
        <f>SUM(DE45:DE58)-#REF!-#REF!-DE47</f>
        <v>#REF!</v>
      </c>
      <c r="DF44" s="70" t="e">
        <f>SUM(DF45:DF58)-#REF!-#REF!-DF47</f>
        <v>#REF!</v>
      </c>
      <c r="DG44" s="70" t="e">
        <f>SUM(DG45:DG58)-#REF!-#REF!-DG47</f>
        <v>#REF!</v>
      </c>
      <c r="DH44" s="70" t="e">
        <f>SUM(DH45:DH58)-#REF!-#REF!-DH47</f>
        <v>#REF!</v>
      </c>
      <c r="DI44" s="70" t="e">
        <f>SUM(DI45:DI58)-#REF!-#REF!-DI47</f>
        <v>#REF!</v>
      </c>
      <c r="DJ44" s="70" t="e">
        <f>SUM(DJ45:DJ58)-#REF!-#REF!-DJ47</f>
        <v>#REF!</v>
      </c>
      <c r="DK44" s="70" t="e">
        <f>SUM(DK45:DK58)-#REF!-#REF!-DK47</f>
        <v>#REF!</v>
      </c>
      <c r="DL44" s="69" t="e">
        <f>SUM(DL45:DL58)-#REF!-#REF!-DL47</f>
        <v>#REF!</v>
      </c>
      <c r="DM44" s="68" t="e">
        <f>SUM(DM45:DM58)-#REF!-#REF!-DM47</f>
        <v>#REF!</v>
      </c>
      <c r="DN44" s="68" t="e">
        <f>SUM(DN45:DN58)-#REF!-#REF!-DN47</f>
        <v>#REF!</v>
      </c>
      <c r="DO44" s="70" t="e">
        <f>SUM(DO45:DO58)-#REF!-#REF!-DO47</f>
        <v>#REF!</v>
      </c>
      <c r="DP44" s="70" t="e">
        <f>SUM(DP45:DP58)-#REF!-#REF!-DP47</f>
        <v>#REF!</v>
      </c>
      <c r="DQ44" s="70" t="e">
        <f>SUM(DQ45:DQ58)-#REF!-#REF!-DQ47</f>
        <v>#REF!</v>
      </c>
      <c r="DR44" s="70" t="e">
        <f>SUM(DR45:DR58)-#REF!-#REF!-DR47</f>
        <v>#REF!</v>
      </c>
      <c r="DS44" s="70" t="e">
        <f>SUM(DS45:DS58)-#REF!-#REF!-DS47</f>
        <v>#REF!</v>
      </c>
      <c r="DT44" s="70" t="e">
        <f>SUM(DT45:DT58)-#REF!-#REF!-DT47</f>
        <v>#REF!</v>
      </c>
      <c r="DU44" s="70" t="e">
        <f>SUM(DU45:DU58)-#REF!-#REF!-DU47</f>
        <v>#REF!</v>
      </c>
      <c r="DV44" s="70" t="e">
        <f>SUM(DV45:DV58)-#REF!-#REF!-DV47</f>
        <v>#REF!</v>
      </c>
      <c r="DW44" s="70" t="e">
        <f>SUM(DW45:DW58)-#REF!-#REF!-DW47</f>
        <v>#REF!</v>
      </c>
      <c r="DX44" s="70" t="e">
        <f>SUM(DX45:DX58)-#REF!-#REF!-DX47</f>
        <v>#REF!</v>
      </c>
      <c r="DY44" s="70" t="e">
        <f>SUM(DY45:DY58)-#REF!-#REF!-DY47</f>
        <v>#REF!</v>
      </c>
      <c r="DZ44" s="70" t="e">
        <f>SUM(DZ45:DZ58)-#REF!-#REF!-DZ47</f>
        <v>#REF!</v>
      </c>
      <c r="EA44" s="70" t="e">
        <f>SUM(EA45:EA58)-#REF!-#REF!-EA47</f>
        <v>#REF!</v>
      </c>
      <c r="EB44" s="70" t="e">
        <f>SUM(EB45:EB58)-#REF!-#REF!-EB47</f>
        <v>#REF!</v>
      </c>
      <c r="EC44" s="70" t="e">
        <f>SUM(EC45:EC58)-#REF!-#REF!-EC47</f>
        <v>#REF!</v>
      </c>
      <c r="ED44" s="70" t="e">
        <f>SUM(ED45:ED58)-#REF!-#REF!-ED47</f>
        <v>#REF!</v>
      </c>
      <c r="EE44" s="70" t="e">
        <f>SUM(EE45:EE58)-#REF!-#REF!-EE47</f>
        <v>#REF!</v>
      </c>
      <c r="EF44" s="70" t="e">
        <f>SUM(EF45:EF58)-#REF!-#REF!-EF47</f>
        <v>#REF!</v>
      </c>
      <c r="EG44" s="70" t="e">
        <f>SUM(EG45:EG58)-#REF!-#REF!-EG47</f>
        <v>#REF!</v>
      </c>
      <c r="EH44" s="70" t="e">
        <f>SUM(EH45:EH58)-#REF!-#REF!-EH47</f>
        <v>#REF!</v>
      </c>
      <c r="EI44" s="70" t="e">
        <f>SUM(EI45:EI58)-#REF!-#REF!-EI47</f>
        <v>#REF!</v>
      </c>
      <c r="EJ44" s="69" t="e">
        <f>SUM(EJ45:EJ58)-#REF!-#REF!-EJ47</f>
        <v>#REF!</v>
      </c>
      <c r="EK44" s="68" t="e">
        <f>SUM(EK45:EK58)-#REF!-#REF!-EK47</f>
        <v>#REF!</v>
      </c>
      <c r="EL44" s="68" t="e">
        <f>SUM(EL45:EL58)-#REF!-#REF!-EL47</f>
        <v>#REF!</v>
      </c>
      <c r="EN44" s="66"/>
    </row>
    <row r="45" spans="1:144" s="13" customFormat="1" ht="25" customHeight="1">
      <c r="A45" s="87"/>
      <c r="B45" s="91">
        <v>735</v>
      </c>
      <c r="C45" s="49" t="s">
        <v>8</v>
      </c>
      <c r="D45" s="64"/>
      <c r="E45" s="46">
        <v>9758584.0899999999</v>
      </c>
      <c r="F45" s="46">
        <f>4828457.18+2372736.73</f>
        <v>7201193.9100000001</v>
      </c>
      <c r="G45" s="46">
        <f>5522938.13+5780819.18+3716774.93</f>
        <v>15020532.239999998</v>
      </c>
      <c r="H45" s="46">
        <v>7650782.8899999997</v>
      </c>
      <c r="I45" s="46">
        <f>8093523.07+4429906.13+2242155.09</f>
        <v>14765584.289999999</v>
      </c>
      <c r="J45" s="46">
        <v>12450399.279999999</v>
      </c>
      <c r="K45" s="46">
        <f>10755927-10755927+10338676.08</f>
        <v>10338676.08</v>
      </c>
      <c r="L45" s="46">
        <f>10103807.7+35-35</f>
        <v>10103807.699999999</v>
      </c>
      <c r="M45" s="46">
        <f>10741658.05+203+87.5+35</f>
        <v>10741983.550000001</v>
      </c>
      <c r="N45" s="46">
        <f>11346059.69+423.5+105</f>
        <v>11346588.189999999</v>
      </c>
      <c r="O45" s="46">
        <f>21121512.99+868+245-868-245</f>
        <v>21121512.989999998</v>
      </c>
      <c r="P45" s="46">
        <f>10750548.96+801.5+353.5+868+245</f>
        <v>10752816.960000001</v>
      </c>
      <c r="Q45" s="46">
        <f>10856156.03+1106+504</f>
        <v>10857766.029999999</v>
      </c>
      <c r="R45" s="46">
        <f>11348116-11348116+11122925.45+969.5+423.5</f>
        <v>11124318.449999999</v>
      </c>
      <c r="S45" s="46">
        <f>11320709.5+1645+483</f>
        <v>11322837.5</v>
      </c>
      <c r="T45" s="46">
        <f>10824493.05+6583725.95+3783565.36+1921.5+535.5</f>
        <v>21194241.359999999</v>
      </c>
      <c r="U45" s="46">
        <f>11119654.84+1827+644</f>
        <v>11122125.84</v>
      </c>
      <c r="V45" s="46">
        <f>11349710.8+3843+1834</f>
        <v>11355387.800000001</v>
      </c>
      <c r="W45" s="46">
        <f>11033266.96+1809.5+693</f>
        <v>11035769.460000001</v>
      </c>
      <c r="X45" s="46">
        <f>12752922.54+1820+381.5</f>
        <v>12755124.039999999</v>
      </c>
      <c r="Z45" s="45">
        <f>22877539.37+1750+843.5</f>
        <v>22880132.870000001</v>
      </c>
      <c r="AA45" s="64">
        <f>SUM(E45:$Z$45)-Y45</f>
        <v>264900165.52000001</v>
      </c>
      <c r="AB45" s="63">
        <f>276867712+5816038-900000-AA45</f>
        <v>16883584.479999989</v>
      </c>
      <c r="AC45" s="46">
        <v>11265855.67</v>
      </c>
      <c r="AD45" s="46">
        <v>11008022.85</v>
      </c>
      <c r="AE45" s="46">
        <v>11777778.57</v>
      </c>
      <c r="AF45" s="46">
        <v>12119603.6</v>
      </c>
      <c r="AG45" s="46">
        <v>21160682.93</v>
      </c>
      <c r="AH45" s="46">
        <v>11549227.880000001</v>
      </c>
      <c r="AI45" s="46">
        <v>11531775.25</v>
      </c>
      <c r="AJ45" s="46">
        <v>13423707.310000001</v>
      </c>
      <c r="AK45" s="46">
        <v>11666561.619999999</v>
      </c>
      <c r="AL45" s="46">
        <v>233347.42000000135</v>
      </c>
      <c r="AM45" s="46">
        <f>12780836.2+12201+3846.5+22641489-213309.98-15421-4616.5</f>
        <v>35205025.220000006</v>
      </c>
      <c r="AN45" s="46">
        <f>11788190.64+25406.5+7686</f>
        <v>11821283.140000001</v>
      </c>
      <c r="AO45" s="46">
        <f>13642716.1+7423.5+3234</f>
        <v>13653373.6</v>
      </c>
      <c r="AP45" s="46">
        <f>13090804.62+10885+5089</f>
        <v>13106778.619999999</v>
      </c>
      <c r="AQ45" s="46">
        <f>31803004.58+22599.5+9331</f>
        <v>31834935.079999998</v>
      </c>
      <c r="AR45" s="46">
        <f>9301454.89+11084.5+5022.5</f>
        <v>9317561.8900000006</v>
      </c>
      <c r="AS45" s="46">
        <f>12691066.24+9824.5+4536</f>
        <v>12705426.74</v>
      </c>
      <c r="AT45" s="46">
        <f>23561785.15+9999.5+5089</f>
        <v>23576873.649999999</v>
      </c>
      <c r="AU45" s="64">
        <f>SUM(AC45:$AT$45)</f>
        <v>266957821.04000005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5">
        <v>0</v>
      </c>
      <c r="BR45" s="63" t="e">
        <f>SUM(#REF!)</f>
        <v>#REF!</v>
      </c>
      <c r="BS45" s="63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v>0</v>
      </c>
      <c r="BZ45" s="46">
        <v>0</v>
      </c>
      <c r="CA45" s="46">
        <v>0</v>
      </c>
      <c r="CB45" s="46">
        <v>0</v>
      </c>
      <c r="CC45" s="46">
        <v>0</v>
      </c>
      <c r="CD45" s="46">
        <v>0</v>
      </c>
      <c r="CE45" s="46">
        <v>0</v>
      </c>
      <c r="CF45" s="46">
        <v>0</v>
      </c>
      <c r="CG45" s="46">
        <v>0</v>
      </c>
      <c r="CH45" s="46">
        <v>0</v>
      </c>
      <c r="CI45" s="46">
        <v>0</v>
      </c>
      <c r="CJ45" s="46">
        <v>0</v>
      </c>
      <c r="CK45" s="46">
        <v>0</v>
      </c>
      <c r="CL45" s="46">
        <v>0</v>
      </c>
      <c r="CM45" s="46">
        <v>0</v>
      </c>
      <c r="CN45" s="46">
        <v>0</v>
      </c>
      <c r="CO45" s="45">
        <v>0</v>
      </c>
      <c r="CP45" s="63">
        <f>SUM(K45:$Z$45)</f>
        <v>198053088.82000002</v>
      </c>
      <c r="CQ45" s="63">
        <v>0</v>
      </c>
      <c r="CR45" s="46">
        <v>0</v>
      </c>
      <c r="CS45" s="46">
        <v>0</v>
      </c>
      <c r="CT45" s="46">
        <v>0</v>
      </c>
      <c r="CU45" s="46">
        <v>0</v>
      </c>
      <c r="CV45" s="46">
        <v>0</v>
      </c>
      <c r="CW45" s="46">
        <v>0</v>
      </c>
      <c r="CX45" s="46">
        <v>0</v>
      </c>
      <c r="CY45" s="46">
        <v>0</v>
      </c>
      <c r="CZ45" s="46">
        <v>0</v>
      </c>
      <c r="DA45" s="46">
        <v>0</v>
      </c>
      <c r="DB45" s="46">
        <v>0</v>
      </c>
      <c r="DC45" s="46">
        <v>0</v>
      </c>
      <c r="DD45" s="46">
        <v>0</v>
      </c>
      <c r="DE45" s="46">
        <v>0</v>
      </c>
      <c r="DF45" s="46">
        <v>0</v>
      </c>
      <c r="DG45" s="46">
        <v>0</v>
      </c>
      <c r="DH45" s="46">
        <v>0</v>
      </c>
      <c r="DI45" s="46">
        <v>0</v>
      </c>
      <c r="DJ45" s="46">
        <v>0</v>
      </c>
      <c r="DK45" s="46">
        <v>0</v>
      </c>
      <c r="DL45" s="45">
        <v>0</v>
      </c>
      <c r="DM45" s="63">
        <f>SUM(M45:$Z$45)</f>
        <v>177610605.03999999</v>
      </c>
      <c r="DN45" s="63">
        <v>0</v>
      </c>
      <c r="DO45" s="46">
        <v>0</v>
      </c>
      <c r="DP45" s="46">
        <v>0</v>
      </c>
      <c r="DQ45" s="46">
        <v>0</v>
      </c>
      <c r="DR45" s="46">
        <v>0</v>
      </c>
      <c r="DS45" s="46">
        <v>0</v>
      </c>
      <c r="DT45" s="46">
        <v>0</v>
      </c>
      <c r="DU45" s="46">
        <v>0</v>
      </c>
      <c r="DV45" s="46">
        <v>0</v>
      </c>
      <c r="DW45" s="46">
        <v>0</v>
      </c>
      <c r="DX45" s="46">
        <v>0</v>
      </c>
      <c r="DY45" s="46">
        <v>0</v>
      </c>
      <c r="DZ45" s="46">
        <v>0</v>
      </c>
      <c r="EA45" s="46">
        <v>0</v>
      </c>
      <c r="EB45" s="46">
        <v>0</v>
      </c>
      <c r="EC45" s="46">
        <v>0</v>
      </c>
      <c r="ED45" s="46">
        <v>0</v>
      </c>
      <c r="EE45" s="46">
        <v>0</v>
      </c>
      <c r="EF45" s="46">
        <v>0</v>
      </c>
      <c r="EG45" s="46">
        <v>0</v>
      </c>
      <c r="EH45" s="46">
        <v>0</v>
      </c>
      <c r="EI45" s="46">
        <v>0</v>
      </c>
      <c r="EJ45" s="45">
        <v>0</v>
      </c>
      <c r="EK45" s="63">
        <f>SUM(O45:$Z$45)</f>
        <v>155522033.29999998</v>
      </c>
      <c r="EL45" s="63">
        <v>0</v>
      </c>
      <c r="EM45" s="29"/>
      <c r="EN45" s="21"/>
    </row>
    <row r="46" spans="1:144" s="13" customFormat="1" ht="25" customHeight="1">
      <c r="A46" s="87"/>
      <c r="B46" s="86">
        <v>735</v>
      </c>
      <c r="C46" s="49" t="s">
        <v>7</v>
      </c>
      <c r="D46" s="64"/>
      <c r="E46" s="46">
        <f>1049702.17+3818140.77-12310.7</f>
        <v>4855532.2399999993</v>
      </c>
      <c r="F46" s="46">
        <f>538180.89+397781.59+3818141.35+10574.72+60505.18-10686.9</f>
        <v>4814496.8299999991</v>
      </c>
      <c r="G46" s="46">
        <f>1356356.43+2582959.04+2038259.28+1760644.78-3815.71</f>
        <v>7734403.8200000003</v>
      </c>
      <c r="H46" s="46">
        <f>2524974.59+1756927.09-2648.08</f>
        <v>4279253.5999999996</v>
      </c>
      <c r="I46" s="46">
        <f>26235.46+2807849.82+2958291.37+1137478.61+1756927.09-4983.34</f>
        <v>8681799.0100000016</v>
      </c>
      <c r="J46" s="46">
        <f>6396673.81+1756927.1-3815.7</f>
        <v>8149785.21</v>
      </c>
      <c r="K46" s="46">
        <f>5281271-5281271+4793442.94+22997.63+71444.25</f>
        <v>4887884.82</v>
      </c>
      <c r="L46" s="46">
        <f>4180651.74+827075.99-405.43</f>
        <v>5007322.3000000007</v>
      </c>
      <c r="M46" s="46">
        <f>4297353.75+821560.54-305.66</f>
        <v>5118608.63</v>
      </c>
      <c r="N46" s="46">
        <f>4388446.83+821560.54-305.66</f>
        <v>5209701.71</v>
      </c>
      <c r="O46" s="46">
        <f>10222709.81+821560.28-305.67</f>
        <v>11043964.42</v>
      </c>
      <c r="P46" s="46">
        <f>4915883.22+79932.59</f>
        <v>4995815.8099999996</v>
      </c>
      <c r="Q46" s="46">
        <f>3571343.67+1672358.66</f>
        <v>5243702.33</v>
      </c>
      <c r="R46" s="46">
        <f>3536786.16+1668883.64-1575.63</f>
        <v>5204094.17</v>
      </c>
      <c r="S46" s="46">
        <f>3580448.46+1668883.74-1669.62</f>
        <v>5247662.58</v>
      </c>
      <c r="T46" s="46">
        <f>1638.28+1514.56+5313989.57+3717241.65+2207858.03-1151.79</f>
        <v>11241090.300000001</v>
      </c>
      <c r="U46" s="46">
        <f>5127861.16+2182.32+37509.01-2657.76-882.23</f>
        <v>5164012.5</v>
      </c>
      <c r="V46" s="46">
        <f>2087.77+5116259.44+304550.02</f>
        <v>5422897.2300000004</v>
      </c>
      <c r="W46" s="46">
        <f>839.31+5190617.71+302348.11</f>
        <v>5493805.1299999999</v>
      </c>
      <c r="X46" s="46">
        <f>2817719.94+4991714.21+302348.11</f>
        <v>8111782.2600000007</v>
      </c>
      <c r="Z46" s="45">
        <f>2489.27+11001824.34+302348.11</f>
        <v>11306661.719999999</v>
      </c>
      <c r="AA46" s="64">
        <f>SUM(E46:$Z$46)-Y46</f>
        <v>137214276.62</v>
      </c>
      <c r="AB46" s="63">
        <f>141304925-AA46</f>
        <v>4090648.3799999952</v>
      </c>
      <c r="AC46" s="46">
        <v>5165915.99</v>
      </c>
      <c r="AD46" s="46">
        <v>5400206.1500000004</v>
      </c>
      <c r="AE46" s="46">
        <v>5469515.6100000003</v>
      </c>
      <c r="AF46" s="46">
        <v>5439624.4400000004</v>
      </c>
      <c r="AG46" s="46">
        <v>11323585.76</v>
      </c>
      <c r="AH46" s="46">
        <v>5217832.5999999996</v>
      </c>
      <c r="AI46" s="46">
        <v>5681928.54</v>
      </c>
      <c r="AJ46" s="46">
        <v>5741873.0499999998</v>
      </c>
      <c r="AK46" s="46">
        <v>5274449.3299999991</v>
      </c>
      <c r="AL46" s="46">
        <v>320408.28000000049</v>
      </c>
      <c r="AM46" s="46">
        <f>5685835.25+7613.35+504626.31-1.53+11048362.83-1240.33</f>
        <v>17245195.880000003</v>
      </c>
      <c r="AN46" s="46">
        <f>4891068.73+504055.75-1240.33</f>
        <v>5393884.1500000004</v>
      </c>
      <c r="AO46" s="46">
        <f>5494263.01+504054.54-1031.76</f>
        <v>5997285.79</v>
      </c>
      <c r="AP46" s="46">
        <f>5895618.47+8537.1</f>
        <v>5904155.5699999994</v>
      </c>
      <c r="AQ46" s="46">
        <f>15165742.3+394631.29-2909.52</f>
        <v>15557464.07</v>
      </c>
      <c r="AR46" s="46">
        <f>4097249.84+393890.43-2909.52</f>
        <v>4488230.75</v>
      </c>
      <c r="AS46" s="46">
        <f>5205926.17+393890.43-2909.52</f>
        <v>5596907.0800000001</v>
      </c>
      <c r="AT46" s="46">
        <f>11849585.43+393890.22-2909.48</f>
        <v>12240566.17</v>
      </c>
      <c r="AU46" s="64">
        <f>SUM(AC46:$AT$46)</f>
        <v>127459029.21000001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5">
        <v>0</v>
      </c>
      <c r="BR46" s="63" t="e">
        <f>SUM(#REF!)</f>
        <v>#REF!</v>
      </c>
      <c r="BS46" s="63">
        <v>0</v>
      </c>
      <c r="BT46" s="46">
        <v>0</v>
      </c>
      <c r="BU46" s="46">
        <v>0</v>
      </c>
      <c r="BV46" s="46">
        <v>0</v>
      </c>
      <c r="BW46" s="46">
        <v>0</v>
      </c>
      <c r="BX46" s="46">
        <v>0</v>
      </c>
      <c r="BY46" s="46">
        <v>0</v>
      </c>
      <c r="BZ46" s="46">
        <v>0</v>
      </c>
      <c r="CA46" s="46">
        <v>0</v>
      </c>
      <c r="CB46" s="46">
        <v>0</v>
      </c>
      <c r="CC46" s="46">
        <v>0</v>
      </c>
      <c r="CD46" s="46">
        <v>0</v>
      </c>
      <c r="CE46" s="46">
        <v>0</v>
      </c>
      <c r="CF46" s="46">
        <v>0</v>
      </c>
      <c r="CG46" s="46">
        <v>0</v>
      </c>
      <c r="CH46" s="46">
        <v>0</v>
      </c>
      <c r="CI46" s="46">
        <v>0</v>
      </c>
      <c r="CJ46" s="46">
        <v>0</v>
      </c>
      <c r="CK46" s="46">
        <v>0</v>
      </c>
      <c r="CL46" s="46">
        <v>0</v>
      </c>
      <c r="CM46" s="46">
        <v>0</v>
      </c>
      <c r="CN46" s="46">
        <v>0</v>
      </c>
      <c r="CO46" s="45">
        <v>0</v>
      </c>
      <c r="CP46" s="63">
        <f>SUM(K46:$Z$46)</f>
        <v>98699005.910000011</v>
      </c>
      <c r="CQ46" s="63">
        <v>0</v>
      </c>
      <c r="CR46" s="46">
        <v>0</v>
      </c>
      <c r="CS46" s="46">
        <v>0</v>
      </c>
      <c r="CT46" s="46">
        <v>0</v>
      </c>
      <c r="CU46" s="46">
        <v>0</v>
      </c>
      <c r="CV46" s="46">
        <v>0</v>
      </c>
      <c r="CW46" s="46">
        <v>0</v>
      </c>
      <c r="CX46" s="46">
        <v>0</v>
      </c>
      <c r="CY46" s="46">
        <v>0</v>
      </c>
      <c r="CZ46" s="46">
        <v>0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6">
        <v>0</v>
      </c>
      <c r="DJ46" s="46">
        <v>0</v>
      </c>
      <c r="DK46" s="46">
        <v>0</v>
      </c>
      <c r="DL46" s="45">
        <v>0</v>
      </c>
      <c r="DM46" s="63">
        <f>SUM(M46:$Z$46)</f>
        <v>88803798.790000007</v>
      </c>
      <c r="DN46" s="63">
        <v>0</v>
      </c>
      <c r="DO46" s="46">
        <v>0</v>
      </c>
      <c r="DP46" s="46">
        <v>0</v>
      </c>
      <c r="DQ46" s="46">
        <v>0</v>
      </c>
      <c r="DR46" s="46">
        <v>0</v>
      </c>
      <c r="DS46" s="46">
        <v>0</v>
      </c>
      <c r="DT46" s="46">
        <v>0</v>
      </c>
      <c r="DU46" s="46">
        <v>0</v>
      </c>
      <c r="DV46" s="46">
        <v>0</v>
      </c>
      <c r="DW46" s="46">
        <v>0</v>
      </c>
      <c r="DX46" s="46">
        <v>0</v>
      </c>
      <c r="DY46" s="46">
        <v>0</v>
      </c>
      <c r="DZ46" s="46">
        <v>0</v>
      </c>
      <c r="EA46" s="46">
        <v>0</v>
      </c>
      <c r="EB46" s="46">
        <v>0</v>
      </c>
      <c r="EC46" s="46">
        <v>0</v>
      </c>
      <c r="ED46" s="46">
        <v>0</v>
      </c>
      <c r="EE46" s="46">
        <v>0</v>
      </c>
      <c r="EF46" s="46">
        <v>0</v>
      </c>
      <c r="EG46" s="46">
        <v>0</v>
      </c>
      <c r="EH46" s="46">
        <v>0</v>
      </c>
      <c r="EI46" s="46">
        <v>0</v>
      </c>
      <c r="EJ46" s="45">
        <v>0</v>
      </c>
      <c r="EK46" s="63">
        <f>SUM(O46:$Z$46)</f>
        <v>78475488.450000003</v>
      </c>
      <c r="EL46" s="63">
        <v>0</v>
      </c>
      <c r="EN46" s="21"/>
    </row>
    <row r="47" spans="1:144" s="13" customFormat="1" ht="25" customHeight="1">
      <c r="A47" s="90" t="s">
        <v>6</v>
      </c>
      <c r="B47" s="89"/>
      <c r="C47" s="59" t="s">
        <v>17</v>
      </c>
      <c r="D47" s="58"/>
      <c r="E47" s="57">
        <f>3818140.77-12310.7</f>
        <v>3805830.07</v>
      </c>
      <c r="F47" s="57">
        <f>3818141.35+10574.72+60506.34-10686.9</f>
        <v>3878535.5100000002</v>
      </c>
      <c r="G47" s="57">
        <f>1760644.78-3815.71</f>
        <v>1756829.07</v>
      </c>
      <c r="H47" s="57">
        <f>1756927.09-2648.08</f>
        <v>1754279.01</v>
      </c>
      <c r="I47" s="57">
        <f>1756927.09-4983.34</f>
        <v>1751943.75</v>
      </c>
      <c r="J47" s="57">
        <f>1756927.1-3815.7</f>
        <v>1753111.4000000001</v>
      </c>
      <c r="K47" s="57">
        <v>0</v>
      </c>
      <c r="L47" s="57">
        <f>827075.99-405.43</f>
        <v>826670.55999999994</v>
      </c>
      <c r="M47" s="57">
        <f>821560.54-305.66</f>
        <v>821254.88</v>
      </c>
      <c r="N47" s="57">
        <f>821560.54-305.66</f>
        <v>821254.88</v>
      </c>
      <c r="O47" s="57">
        <f>821560.28-305.67</f>
        <v>821254.61</v>
      </c>
      <c r="P47" s="57">
        <v>79932.59</v>
      </c>
      <c r="Q47" s="57">
        <v>1672358.66</v>
      </c>
      <c r="R47" s="57">
        <f>1668883.64-1575.53</f>
        <v>1667308.1099999999</v>
      </c>
      <c r="S47" s="57">
        <f>1668883.74-1669.62</f>
        <v>1667214.1199999999</v>
      </c>
      <c r="T47" s="57">
        <v>-1151.79</v>
      </c>
      <c r="U47" s="57">
        <f>37509.01-2657.76-882.23</f>
        <v>33969.019999999997</v>
      </c>
      <c r="V47" s="57">
        <v>304550.02</v>
      </c>
      <c r="W47" s="57">
        <v>302348.11</v>
      </c>
      <c r="X47" s="57">
        <v>302348.11</v>
      </c>
      <c r="Z47" s="56">
        <v>302348.11</v>
      </c>
      <c r="AA47" s="58">
        <f>SUM(E47:$Z$47)-Y47</f>
        <v>24322188.800000001</v>
      </c>
      <c r="AB47" s="51">
        <f>SUM(F47:$Z$47)-U47</f>
        <v>20482389.710000001</v>
      </c>
      <c r="AC47" s="57">
        <v>59711.75</v>
      </c>
      <c r="AD47" s="57">
        <v>300716.2</v>
      </c>
      <c r="AE47" s="57">
        <v>299968.40000000002</v>
      </c>
      <c r="AF47" s="57">
        <v>299968.40000000002</v>
      </c>
      <c r="AG47" s="57">
        <v>299968.40999999997</v>
      </c>
      <c r="AH47" s="57">
        <v>9571.93</v>
      </c>
      <c r="AI47" s="57">
        <v>321397.54000000004</v>
      </c>
      <c r="AJ47" s="57">
        <v>320067.56</v>
      </c>
      <c r="AK47" s="57">
        <v>320407.81</v>
      </c>
      <c r="AL47" s="57">
        <v>320408.27999999997</v>
      </c>
      <c r="AM47" s="57">
        <f>7613.35+504626.31-1.53-1240.33</f>
        <v>510997.79999999993</v>
      </c>
      <c r="AN47" s="57">
        <f>504055.75-1240.33</f>
        <v>502815.42</v>
      </c>
      <c r="AO47" s="57">
        <f>504054.54-1031.76</f>
        <v>503022.77999999997</v>
      </c>
      <c r="AP47" s="57">
        <v>8537.1</v>
      </c>
      <c r="AQ47" s="57">
        <f>394631.29-2909.52</f>
        <v>391721.76999999996</v>
      </c>
      <c r="AR47" s="57">
        <f>393890.43-2909.52</f>
        <v>390980.91</v>
      </c>
      <c r="AS47" s="57">
        <f>393890.43-2909.52</f>
        <v>390980.91</v>
      </c>
      <c r="AT47" s="57">
        <f>393890.22-2909.48</f>
        <v>390980.74</v>
      </c>
      <c r="AU47" s="58">
        <f>SUM(AC47:$AT$47)</f>
        <v>5642223.71</v>
      </c>
      <c r="AV47" s="57">
        <v>0</v>
      </c>
      <c r="AW47" s="57">
        <v>0</v>
      </c>
      <c r="AX47" s="57">
        <v>0</v>
      </c>
      <c r="AY47" s="57">
        <v>0</v>
      </c>
      <c r="AZ47" s="57">
        <v>0</v>
      </c>
      <c r="BA47" s="57">
        <v>0</v>
      </c>
      <c r="BB47" s="57">
        <v>0</v>
      </c>
      <c r="BC47" s="57">
        <v>0</v>
      </c>
      <c r="BD47" s="57">
        <v>0</v>
      </c>
      <c r="BE47" s="57">
        <v>0</v>
      </c>
      <c r="BF47" s="57">
        <v>0</v>
      </c>
      <c r="BG47" s="57">
        <v>0</v>
      </c>
      <c r="BH47" s="57">
        <v>0</v>
      </c>
      <c r="BI47" s="57">
        <v>0</v>
      </c>
      <c r="BJ47" s="57">
        <v>0</v>
      </c>
      <c r="BK47" s="57">
        <v>0</v>
      </c>
      <c r="BL47" s="57">
        <v>0</v>
      </c>
      <c r="BM47" s="57">
        <v>0</v>
      </c>
      <c r="BN47" s="57">
        <v>0</v>
      </c>
      <c r="BO47" s="57">
        <v>0</v>
      </c>
      <c r="BP47" s="57">
        <v>0</v>
      </c>
      <c r="BQ47" s="56">
        <v>0</v>
      </c>
      <c r="BR47" s="51" t="e">
        <f>SUM(#REF!)</f>
        <v>#REF!</v>
      </c>
      <c r="BS47" s="51">
        <v>0</v>
      </c>
      <c r="BT47" s="57">
        <v>0</v>
      </c>
      <c r="BU47" s="57">
        <v>0</v>
      </c>
      <c r="BV47" s="57">
        <v>0</v>
      </c>
      <c r="BW47" s="57">
        <v>0</v>
      </c>
      <c r="BX47" s="57">
        <v>0</v>
      </c>
      <c r="BY47" s="57">
        <v>0</v>
      </c>
      <c r="BZ47" s="57">
        <v>0</v>
      </c>
      <c r="CA47" s="57">
        <v>0</v>
      </c>
      <c r="CB47" s="57">
        <v>0</v>
      </c>
      <c r="CC47" s="57">
        <v>0</v>
      </c>
      <c r="CD47" s="57">
        <v>0</v>
      </c>
      <c r="CE47" s="57">
        <v>0</v>
      </c>
      <c r="CF47" s="57">
        <v>0</v>
      </c>
      <c r="CG47" s="57">
        <v>0</v>
      </c>
      <c r="CH47" s="57">
        <v>0</v>
      </c>
      <c r="CI47" s="57">
        <v>0</v>
      </c>
      <c r="CJ47" s="57">
        <v>0</v>
      </c>
      <c r="CK47" s="57">
        <v>0</v>
      </c>
      <c r="CL47" s="57">
        <v>0</v>
      </c>
      <c r="CM47" s="57">
        <v>0</v>
      </c>
      <c r="CN47" s="57">
        <v>0</v>
      </c>
      <c r="CO47" s="56">
        <v>0</v>
      </c>
      <c r="CP47" s="51">
        <f>SUM(K47:$Z$47)</f>
        <v>9621659.9899999965</v>
      </c>
      <c r="CQ47" s="51">
        <v>0</v>
      </c>
      <c r="CR47" s="57">
        <v>0</v>
      </c>
      <c r="CS47" s="57">
        <v>0</v>
      </c>
      <c r="CT47" s="57">
        <v>0</v>
      </c>
      <c r="CU47" s="57">
        <v>0</v>
      </c>
      <c r="CV47" s="57">
        <v>0</v>
      </c>
      <c r="CW47" s="57">
        <v>0</v>
      </c>
      <c r="CX47" s="57">
        <v>0</v>
      </c>
      <c r="CY47" s="57">
        <v>0</v>
      </c>
      <c r="CZ47" s="57">
        <v>0</v>
      </c>
      <c r="DA47" s="57">
        <v>0</v>
      </c>
      <c r="DB47" s="57">
        <v>0</v>
      </c>
      <c r="DC47" s="57">
        <v>0</v>
      </c>
      <c r="DD47" s="57">
        <v>0</v>
      </c>
      <c r="DE47" s="57">
        <v>0</v>
      </c>
      <c r="DF47" s="57">
        <v>0</v>
      </c>
      <c r="DG47" s="57">
        <v>0</v>
      </c>
      <c r="DH47" s="57">
        <v>0</v>
      </c>
      <c r="DI47" s="57">
        <v>0</v>
      </c>
      <c r="DJ47" s="57">
        <v>0</v>
      </c>
      <c r="DK47" s="57">
        <v>0</v>
      </c>
      <c r="DL47" s="56">
        <v>0</v>
      </c>
      <c r="DM47" s="51">
        <f>SUM(M47:$Z$47)</f>
        <v>8794989.4299999997</v>
      </c>
      <c r="DN47" s="51">
        <v>0</v>
      </c>
      <c r="DO47" s="57">
        <v>0</v>
      </c>
      <c r="DP47" s="57">
        <v>0</v>
      </c>
      <c r="DQ47" s="57">
        <v>0</v>
      </c>
      <c r="DR47" s="57">
        <v>0</v>
      </c>
      <c r="DS47" s="57">
        <v>0</v>
      </c>
      <c r="DT47" s="57">
        <v>0</v>
      </c>
      <c r="DU47" s="57">
        <v>0</v>
      </c>
      <c r="DV47" s="57">
        <v>0</v>
      </c>
      <c r="DW47" s="57">
        <v>0</v>
      </c>
      <c r="DX47" s="57">
        <v>0</v>
      </c>
      <c r="DY47" s="57">
        <v>0</v>
      </c>
      <c r="DZ47" s="57">
        <v>0</v>
      </c>
      <c r="EA47" s="57">
        <v>0</v>
      </c>
      <c r="EB47" s="57">
        <v>0</v>
      </c>
      <c r="EC47" s="57">
        <v>0</v>
      </c>
      <c r="ED47" s="57">
        <v>0</v>
      </c>
      <c r="EE47" s="57">
        <v>0</v>
      </c>
      <c r="EF47" s="57">
        <v>0</v>
      </c>
      <c r="EG47" s="57">
        <v>0</v>
      </c>
      <c r="EH47" s="57">
        <v>0</v>
      </c>
      <c r="EI47" s="57">
        <v>0</v>
      </c>
      <c r="EJ47" s="56">
        <v>0</v>
      </c>
      <c r="EK47" s="51">
        <f>SUM(O47:$Z$47)</f>
        <v>7152479.6700000009</v>
      </c>
      <c r="EL47" s="51">
        <v>0</v>
      </c>
    </row>
    <row r="48" spans="1:144" s="13" customFormat="1" ht="25" customHeight="1">
      <c r="A48" s="87"/>
      <c r="B48" s="86">
        <v>723</v>
      </c>
      <c r="C48" s="49" t="s">
        <v>16</v>
      </c>
      <c r="D48" s="64"/>
      <c r="E48" s="53">
        <v>16047.55</v>
      </c>
      <c r="F48" s="53">
        <f>3432.39+3432.39</f>
        <v>6864.78</v>
      </c>
      <c r="G48" s="53">
        <f>3432.39+3432.39+3432.39</f>
        <v>10297.17</v>
      </c>
      <c r="H48" s="53">
        <v>3432.39</v>
      </c>
      <c r="I48" s="53">
        <f>3432.39+3432.02+3432.39</f>
        <v>10296.799999999999</v>
      </c>
      <c r="J48" s="53">
        <v>10297.17</v>
      </c>
      <c r="K48" s="53">
        <v>3432.39</v>
      </c>
      <c r="L48" s="53">
        <v>3432.39</v>
      </c>
      <c r="M48" s="53">
        <v>3432</v>
      </c>
      <c r="N48" s="53">
        <v>3432</v>
      </c>
      <c r="O48" s="53">
        <v>10297.17</v>
      </c>
      <c r="P48" s="53">
        <v>3432</v>
      </c>
      <c r="Q48" s="53">
        <v>3432.39</v>
      </c>
      <c r="R48" s="53">
        <v>3432.39</v>
      </c>
      <c r="S48" s="53">
        <v>3432.39</v>
      </c>
      <c r="T48" s="53">
        <f>3432.39+3432.39+3432.39</f>
        <v>10297.17</v>
      </c>
      <c r="U48" s="53">
        <v>3432.39</v>
      </c>
      <c r="V48" s="53">
        <v>3432.39</v>
      </c>
      <c r="W48" s="53">
        <v>3432.39</v>
      </c>
      <c r="X48" s="53">
        <v>3432.39</v>
      </c>
      <c r="Z48" s="52">
        <v>10297.17</v>
      </c>
      <c r="AA48" s="64">
        <f>SUM(E48:$Z$48)-Y48</f>
        <v>129314.87999999999</v>
      </c>
      <c r="AB48" s="63">
        <f>129303-AA48</f>
        <v>-11.879999999990105</v>
      </c>
      <c r="AC48" s="53">
        <v>16047.75</v>
      </c>
      <c r="AD48" s="53">
        <v>3432.39</v>
      </c>
      <c r="AE48" s="53">
        <v>3432.39</v>
      </c>
      <c r="AF48" s="53">
        <v>3432.39</v>
      </c>
      <c r="AG48" s="53">
        <v>10664.54</v>
      </c>
      <c r="AH48" s="53">
        <v>3800.13</v>
      </c>
      <c r="AI48" s="53">
        <v>3800.13</v>
      </c>
      <c r="AJ48" s="53">
        <v>3800.13</v>
      </c>
      <c r="AK48" s="53">
        <v>3800.13</v>
      </c>
      <c r="AL48" s="53">
        <v>11400.39</v>
      </c>
      <c r="AM48" s="53">
        <v>3800.13</v>
      </c>
      <c r="AN48" s="53">
        <v>3800</v>
      </c>
      <c r="AO48" s="53">
        <v>3800.13</v>
      </c>
      <c r="AP48" s="53">
        <v>3800</v>
      </c>
      <c r="AQ48" s="53">
        <v>19000.650000000001</v>
      </c>
      <c r="AR48" s="53">
        <v>3800.13</v>
      </c>
      <c r="AS48" s="53">
        <v>3800</v>
      </c>
      <c r="AT48" s="53">
        <v>11400.39</v>
      </c>
      <c r="AU48" s="64">
        <f>SUM(AC48:$AT$48)</f>
        <v>116811.8</v>
      </c>
      <c r="AV48" s="53">
        <v>0</v>
      </c>
      <c r="AW48" s="53">
        <v>0</v>
      </c>
      <c r="AX48" s="53">
        <v>0</v>
      </c>
      <c r="AY48" s="53">
        <v>0</v>
      </c>
      <c r="AZ48" s="53">
        <v>0</v>
      </c>
      <c r="BA48" s="53">
        <v>0</v>
      </c>
      <c r="BB48" s="53">
        <v>0</v>
      </c>
      <c r="BC48" s="53">
        <v>0</v>
      </c>
      <c r="BD48" s="53">
        <v>0</v>
      </c>
      <c r="BE48" s="53">
        <v>0</v>
      </c>
      <c r="BF48" s="53">
        <v>0</v>
      </c>
      <c r="BG48" s="53">
        <v>0</v>
      </c>
      <c r="BH48" s="53">
        <v>0</v>
      </c>
      <c r="BI48" s="53">
        <v>0</v>
      </c>
      <c r="BJ48" s="53">
        <v>0</v>
      </c>
      <c r="BK48" s="53">
        <v>0</v>
      </c>
      <c r="BL48" s="53">
        <v>0</v>
      </c>
      <c r="BM48" s="53">
        <v>0</v>
      </c>
      <c r="BN48" s="53">
        <v>0</v>
      </c>
      <c r="BO48" s="53">
        <v>0</v>
      </c>
      <c r="BP48" s="53">
        <v>0</v>
      </c>
      <c r="BQ48" s="52">
        <v>0</v>
      </c>
      <c r="BR48" s="63" t="e">
        <f>SUM(#REF!)</f>
        <v>#REF!</v>
      </c>
      <c r="BS48" s="63">
        <v>0</v>
      </c>
      <c r="BT48" s="53">
        <v>0</v>
      </c>
      <c r="BU48" s="53">
        <v>0</v>
      </c>
      <c r="BV48" s="53">
        <v>0</v>
      </c>
      <c r="BW48" s="53">
        <v>0</v>
      </c>
      <c r="BX48" s="53">
        <v>0</v>
      </c>
      <c r="BY48" s="53">
        <v>0</v>
      </c>
      <c r="BZ48" s="53">
        <v>0</v>
      </c>
      <c r="CA48" s="53">
        <v>0</v>
      </c>
      <c r="CB48" s="53">
        <v>0</v>
      </c>
      <c r="CC48" s="53">
        <v>0</v>
      </c>
      <c r="CD48" s="53">
        <v>0</v>
      </c>
      <c r="CE48" s="53">
        <v>0</v>
      </c>
      <c r="CF48" s="53">
        <v>0</v>
      </c>
      <c r="CG48" s="53">
        <v>0</v>
      </c>
      <c r="CH48" s="53">
        <v>0</v>
      </c>
      <c r="CI48" s="53">
        <v>0</v>
      </c>
      <c r="CJ48" s="53">
        <v>0</v>
      </c>
      <c r="CK48" s="53">
        <v>0</v>
      </c>
      <c r="CL48" s="53">
        <v>0</v>
      </c>
      <c r="CM48" s="53">
        <v>0</v>
      </c>
      <c r="CN48" s="53">
        <v>0</v>
      </c>
      <c r="CO48" s="52">
        <v>0</v>
      </c>
      <c r="CP48" s="63">
        <f>SUM(K48:$Z$48)</f>
        <v>72079.01999999999</v>
      </c>
      <c r="CQ48" s="63">
        <v>0</v>
      </c>
      <c r="CR48" s="53">
        <v>0</v>
      </c>
      <c r="CS48" s="53">
        <v>0</v>
      </c>
      <c r="CT48" s="53">
        <v>0</v>
      </c>
      <c r="CU48" s="53">
        <v>0</v>
      </c>
      <c r="CV48" s="53">
        <v>0</v>
      </c>
      <c r="CW48" s="53">
        <v>0</v>
      </c>
      <c r="CX48" s="53">
        <v>0</v>
      </c>
      <c r="CY48" s="53">
        <v>0</v>
      </c>
      <c r="CZ48" s="53">
        <v>0</v>
      </c>
      <c r="DA48" s="53">
        <v>0</v>
      </c>
      <c r="DB48" s="53">
        <v>0</v>
      </c>
      <c r="DC48" s="53">
        <v>0</v>
      </c>
      <c r="DD48" s="53">
        <v>0</v>
      </c>
      <c r="DE48" s="53">
        <v>0</v>
      </c>
      <c r="DF48" s="53">
        <v>0</v>
      </c>
      <c r="DG48" s="53">
        <v>0</v>
      </c>
      <c r="DH48" s="53">
        <v>0</v>
      </c>
      <c r="DI48" s="53">
        <v>0</v>
      </c>
      <c r="DJ48" s="53">
        <v>0</v>
      </c>
      <c r="DK48" s="53">
        <v>0</v>
      </c>
      <c r="DL48" s="52">
        <v>0</v>
      </c>
      <c r="DM48" s="63">
        <f>SUM(M48:$Z$48)</f>
        <v>65214.239999999991</v>
      </c>
      <c r="DN48" s="63">
        <v>0</v>
      </c>
      <c r="DO48" s="53">
        <v>0</v>
      </c>
      <c r="DP48" s="53">
        <v>0</v>
      </c>
      <c r="DQ48" s="53">
        <v>0</v>
      </c>
      <c r="DR48" s="53">
        <v>0</v>
      </c>
      <c r="DS48" s="53">
        <v>0</v>
      </c>
      <c r="DT48" s="53">
        <v>0</v>
      </c>
      <c r="DU48" s="53">
        <v>0</v>
      </c>
      <c r="DV48" s="53">
        <v>0</v>
      </c>
      <c r="DW48" s="53">
        <v>0</v>
      </c>
      <c r="DX48" s="53">
        <v>0</v>
      </c>
      <c r="DY48" s="53">
        <v>0</v>
      </c>
      <c r="DZ48" s="53">
        <v>0</v>
      </c>
      <c r="EA48" s="53">
        <v>0</v>
      </c>
      <c r="EB48" s="53">
        <v>0</v>
      </c>
      <c r="EC48" s="53">
        <v>0</v>
      </c>
      <c r="ED48" s="53">
        <v>0</v>
      </c>
      <c r="EE48" s="53">
        <v>0</v>
      </c>
      <c r="EF48" s="53">
        <v>0</v>
      </c>
      <c r="EG48" s="53">
        <v>0</v>
      </c>
      <c r="EH48" s="53">
        <v>0</v>
      </c>
      <c r="EI48" s="53">
        <v>0</v>
      </c>
      <c r="EJ48" s="52">
        <v>0</v>
      </c>
      <c r="EK48" s="63">
        <f>SUM(O48:$Z$48)</f>
        <v>58350.239999999998</v>
      </c>
      <c r="EL48" s="63">
        <v>0</v>
      </c>
      <c r="EN48" s="21"/>
    </row>
    <row r="49" spans="1:144" s="13" customFormat="1" ht="25" customHeight="1">
      <c r="A49" s="87"/>
      <c r="B49" s="86" t="s">
        <v>24</v>
      </c>
      <c r="C49" s="55" t="s">
        <v>3</v>
      </c>
      <c r="D49" s="54"/>
      <c r="E49" s="53">
        <v>32910.589999999997</v>
      </c>
      <c r="F49" s="53">
        <f>22208.36+12435.22</f>
        <v>34643.58</v>
      </c>
      <c r="G49" s="53">
        <f>748586.31+20766.19+15234.65</f>
        <v>784587.15</v>
      </c>
      <c r="H49" s="53">
        <v>28697.61</v>
      </c>
      <c r="I49" s="53">
        <f>27109.78+17487.44+12072.67</f>
        <v>56669.89</v>
      </c>
      <c r="J49" s="53">
        <v>278041.28000000003</v>
      </c>
      <c r="K49" s="53">
        <v>32836.300000000003</v>
      </c>
      <c r="L49" s="53">
        <v>34222.71</v>
      </c>
      <c r="M49" s="53">
        <v>34566.15</v>
      </c>
      <c r="N49" s="53">
        <v>159103.21</v>
      </c>
      <c r="O49" s="53">
        <v>281147.46999999997</v>
      </c>
      <c r="P49" s="53">
        <v>34978.300000000003</v>
      </c>
      <c r="Q49" s="53">
        <v>37918.269999999997</v>
      </c>
      <c r="R49" s="53">
        <v>35951.06</v>
      </c>
      <c r="S49" s="53">
        <v>36741.870000000003</v>
      </c>
      <c r="T49" s="53">
        <f>581143.13+16606.66+9631.64</f>
        <v>607381.43000000005</v>
      </c>
      <c r="U49" s="53">
        <v>29355.81</v>
      </c>
      <c r="V49" s="53">
        <v>30515.29</v>
      </c>
      <c r="W49" s="53">
        <v>30884.58</v>
      </c>
      <c r="X49" s="53">
        <v>29457.4</v>
      </c>
      <c r="Z49" s="52">
        <v>64369.48</v>
      </c>
      <c r="AA49" s="54">
        <f>SUM(E49:$Z$49)-Y49</f>
        <v>2694979.43</v>
      </c>
      <c r="AB49" s="51">
        <f>3500000+1000000-AA49</f>
        <v>1805020.5699999998</v>
      </c>
      <c r="AC49" s="53">
        <v>30133.51</v>
      </c>
      <c r="AD49" s="53">
        <v>31017.98</v>
      </c>
      <c r="AE49" s="53">
        <v>30688.83</v>
      </c>
      <c r="AF49" s="53">
        <v>30515.42</v>
      </c>
      <c r="AG49" s="53">
        <v>616363.46</v>
      </c>
      <c r="AH49" s="53">
        <v>31666.82</v>
      </c>
      <c r="AI49" s="53">
        <v>33069.760000000002</v>
      </c>
      <c r="AJ49" s="53">
        <v>32918.019999999997</v>
      </c>
      <c r="AK49" s="53">
        <v>18147.72</v>
      </c>
      <c r="AL49" s="53">
        <v>877877.5</v>
      </c>
      <c r="AM49" s="53">
        <v>34253.39</v>
      </c>
      <c r="AN49" s="53">
        <v>34681.85</v>
      </c>
      <c r="AO49" s="53">
        <v>34684.720000000001</v>
      </c>
      <c r="AP49" s="53">
        <f>34330.13</f>
        <v>34330.129999999997</v>
      </c>
      <c r="AQ49" s="53">
        <f>577699.23</f>
        <v>577699.23</v>
      </c>
      <c r="AR49" s="53">
        <v>25371.35</v>
      </c>
      <c r="AS49" s="53">
        <v>32557.45</v>
      </c>
      <c r="AT49" s="53">
        <v>582059.69999999995</v>
      </c>
      <c r="AU49" s="54">
        <f>SUM(AC49:$AT$49)</f>
        <v>3088036.84</v>
      </c>
      <c r="AV49" s="53">
        <v>0</v>
      </c>
      <c r="AW49" s="53">
        <v>0</v>
      </c>
      <c r="AX49" s="53">
        <v>0</v>
      </c>
      <c r="AY49" s="53">
        <v>0</v>
      </c>
      <c r="AZ49" s="53">
        <v>0</v>
      </c>
      <c r="BA49" s="53">
        <v>0</v>
      </c>
      <c r="BB49" s="53">
        <v>0</v>
      </c>
      <c r="BC49" s="53">
        <v>0</v>
      </c>
      <c r="BD49" s="53">
        <v>0</v>
      </c>
      <c r="BE49" s="53">
        <v>0</v>
      </c>
      <c r="BF49" s="53">
        <v>0</v>
      </c>
      <c r="BG49" s="53">
        <v>0</v>
      </c>
      <c r="BH49" s="53">
        <v>0</v>
      </c>
      <c r="BI49" s="53">
        <v>0</v>
      </c>
      <c r="BJ49" s="53">
        <v>0</v>
      </c>
      <c r="BK49" s="53">
        <v>0</v>
      </c>
      <c r="BL49" s="53">
        <v>0</v>
      </c>
      <c r="BM49" s="53">
        <v>0</v>
      </c>
      <c r="BN49" s="53">
        <v>0</v>
      </c>
      <c r="BO49" s="53">
        <v>0</v>
      </c>
      <c r="BP49" s="53">
        <v>0</v>
      </c>
      <c r="BQ49" s="52">
        <v>0</v>
      </c>
      <c r="BR49" s="51" t="e">
        <f>SUM(#REF!)</f>
        <v>#REF!</v>
      </c>
      <c r="BS49" s="51">
        <v>0</v>
      </c>
      <c r="BT49" s="53">
        <v>0</v>
      </c>
      <c r="BU49" s="53">
        <v>0</v>
      </c>
      <c r="BV49" s="53">
        <v>0</v>
      </c>
      <c r="BW49" s="53">
        <v>0</v>
      </c>
      <c r="BX49" s="53">
        <v>0</v>
      </c>
      <c r="BY49" s="53">
        <v>0</v>
      </c>
      <c r="BZ49" s="53">
        <v>0</v>
      </c>
      <c r="CA49" s="53">
        <v>0</v>
      </c>
      <c r="CB49" s="53">
        <v>0</v>
      </c>
      <c r="CC49" s="53">
        <v>0</v>
      </c>
      <c r="CD49" s="53">
        <v>0</v>
      </c>
      <c r="CE49" s="53">
        <v>0</v>
      </c>
      <c r="CF49" s="53">
        <v>0</v>
      </c>
      <c r="CG49" s="53">
        <v>0</v>
      </c>
      <c r="CH49" s="53">
        <v>0</v>
      </c>
      <c r="CI49" s="53">
        <v>0</v>
      </c>
      <c r="CJ49" s="53">
        <v>0</v>
      </c>
      <c r="CK49" s="53">
        <v>0</v>
      </c>
      <c r="CL49" s="53">
        <v>0</v>
      </c>
      <c r="CM49" s="53">
        <v>0</v>
      </c>
      <c r="CN49" s="53">
        <v>0</v>
      </c>
      <c r="CO49" s="52">
        <v>0</v>
      </c>
      <c r="CP49" s="51">
        <f>SUM(K49:$Z$49)</f>
        <v>1479429.33</v>
      </c>
      <c r="CQ49" s="51">
        <v>0</v>
      </c>
      <c r="CR49" s="53">
        <v>0</v>
      </c>
      <c r="CS49" s="53">
        <v>0</v>
      </c>
      <c r="CT49" s="53">
        <v>0</v>
      </c>
      <c r="CU49" s="53">
        <v>0</v>
      </c>
      <c r="CV49" s="53">
        <v>0</v>
      </c>
      <c r="CW49" s="53">
        <v>0</v>
      </c>
      <c r="CX49" s="53">
        <v>0</v>
      </c>
      <c r="CY49" s="53">
        <v>0</v>
      </c>
      <c r="CZ49" s="53">
        <v>0</v>
      </c>
      <c r="DA49" s="53">
        <v>0</v>
      </c>
      <c r="DB49" s="53">
        <v>0</v>
      </c>
      <c r="DC49" s="53">
        <v>0</v>
      </c>
      <c r="DD49" s="53">
        <v>0</v>
      </c>
      <c r="DE49" s="53">
        <v>0</v>
      </c>
      <c r="DF49" s="53">
        <v>0</v>
      </c>
      <c r="DG49" s="53">
        <v>0</v>
      </c>
      <c r="DH49" s="53">
        <v>0</v>
      </c>
      <c r="DI49" s="53">
        <v>0</v>
      </c>
      <c r="DJ49" s="53">
        <v>0</v>
      </c>
      <c r="DK49" s="53">
        <v>0</v>
      </c>
      <c r="DL49" s="52">
        <v>0</v>
      </c>
      <c r="DM49" s="51">
        <f>SUM(M49:$Z$49)</f>
        <v>1412370.32</v>
      </c>
      <c r="DN49" s="51">
        <v>0</v>
      </c>
      <c r="DO49" s="53">
        <v>0</v>
      </c>
      <c r="DP49" s="53">
        <v>0</v>
      </c>
      <c r="DQ49" s="53">
        <v>0</v>
      </c>
      <c r="DR49" s="53">
        <v>0</v>
      </c>
      <c r="DS49" s="53">
        <v>0</v>
      </c>
      <c r="DT49" s="53">
        <v>0</v>
      </c>
      <c r="DU49" s="53">
        <v>0</v>
      </c>
      <c r="DV49" s="53">
        <v>0</v>
      </c>
      <c r="DW49" s="53">
        <v>0</v>
      </c>
      <c r="DX49" s="53">
        <v>0</v>
      </c>
      <c r="DY49" s="53">
        <v>0</v>
      </c>
      <c r="DZ49" s="53">
        <v>0</v>
      </c>
      <c r="EA49" s="53">
        <v>0</v>
      </c>
      <c r="EB49" s="53">
        <v>0</v>
      </c>
      <c r="EC49" s="53">
        <v>0</v>
      </c>
      <c r="ED49" s="53">
        <v>0</v>
      </c>
      <c r="EE49" s="53">
        <v>0</v>
      </c>
      <c r="EF49" s="53">
        <v>0</v>
      </c>
      <c r="EG49" s="53">
        <v>0</v>
      </c>
      <c r="EH49" s="53">
        <v>0</v>
      </c>
      <c r="EI49" s="53">
        <v>0</v>
      </c>
      <c r="EJ49" s="52">
        <v>0</v>
      </c>
      <c r="EK49" s="51">
        <f>SUM(O49:$Z$49)</f>
        <v>1218700.96</v>
      </c>
      <c r="EL49" s="51">
        <v>0</v>
      </c>
      <c r="EN49" s="21"/>
    </row>
    <row r="50" spans="1:144" s="13" customFormat="1" ht="25" customHeight="1">
      <c r="A50" s="87"/>
      <c r="B50" s="86">
        <v>717</v>
      </c>
      <c r="C50" s="49" t="s">
        <v>2</v>
      </c>
      <c r="D50" s="64"/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3157673.67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Z50" s="45">
        <v>0</v>
      </c>
      <c r="AA50" s="64">
        <f>SUM(E50:$Z$50)-Y50</f>
        <v>3157673.67</v>
      </c>
      <c r="AB50" s="63">
        <f>3014143-AA50</f>
        <v>-143530.66999999993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2870612.43</v>
      </c>
      <c r="AN50" s="46">
        <v>0</v>
      </c>
      <c r="AO50" s="46">
        <v>0</v>
      </c>
      <c r="AP50" s="46">
        <v>0</v>
      </c>
      <c r="AQ50" s="46">
        <v>143530.62</v>
      </c>
      <c r="AR50" s="46">
        <v>0</v>
      </c>
      <c r="AS50" s="46">
        <v>0</v>
      </c>
      <c r="AT50" s="46">
        <v>0</v>
      </c>
      <c r="AU50" s="64">
        <f>SUM(AC50:$AT$50)</f>
        <v>3014143.0500000003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5">
        <v>0</v>
      </c>
      <c r="BR50" s="63" t="e">
        <f>SUM(#REF!)</f>
        <v>#REF!</v>
      </c>
      <c r="BS50" s="63">
        <v>0</v>
      </c>
      <c r="BT50" s="46">
        <v>0</v>
      </c>
      <c r="BU50" s="46">
        <v>0</v>
      </c>
      <c r="BV50" s="46">
        <v>0</v>
      </c>
      <c r="BW50" s="46">
        <v>0</v>
      </c>
      <c r="BX50" s="46">
        <v>0</v>
      </c>
      <c r="BY50" s="46">
        <v>0</v>
      </c>
      <c r="BZ50" s="46">
        <v>0</v>
      </c>
      <c r="CA50" s="46">
        <v>0</v>
      </c>
      <c r="CB50" s="46">
        <v>0</v>
      </c>
      <c r="CC50" s="46">
        <v>0</v>
      </c>
      <c r="CD50" s="46">
        <v>0</v>
      </c>
      <c r="CE50" s="46">
        <v>0</v>
      </c>
      <c r="CF50" s="46">
        <v>0</v>
      </c>
      <c r="CG50" s="46">
        <v>0</v>
      </c>
      <c r="CH50" s="46">
        <v>0</v>
      </c>
      <c r="CI50" s="46">
        <v>0</v>
      </c>
      <c r="CJ50" s="46">
        <v>0</v>
      </c>
      <c r="CK50" s="46">
        <v>0</v>
      </c>
      <c r="CL50" s="46">
        <v>0</v>
      </c>
      <c r="CM50" s="46">
        <v>0</v>
      </c>
      <c r="CN50" s="46">
        <v>0</v>
      </c>
      <c r="CO50" s="45">
        <v>0</v>
      </c>
      <c r="CP50" s="63">
        <f>SUM(K50:$Z$50)</f>
        <v>3157673.67</v>
      </c>
      <c r="CQ50" s="63">
        <v>0</v>
      </c>
      <c r="CR50" s="46">
        <v>0</v>
      </c>
      <c r="CS50" s="46">
        <v>0</v>
      </c>
      <c r="CT50" s="46">
        <v>0</v>
      </c>
      <c r="CU50" s="46">
        <v>0</v>
      </c>
      <c r="CV50" s="46">
        <v>0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6">
        <v>0</v>
      </c>
      <c r="DJ50" s="46">
        <v>0</v>
      </c>
      <c r="DK50" s="46">
        <v>0</v>
      </c>
      <c r="DL50" s="45">
        <v>0</v>
      </c>
      <c r="DM50" s="63">
        <f>SUM(M50:$Z$50)</f>
        <v>3157673.67</v>
      </c>
      <c r="DN50" s="63">
        <v>0</v>
      </c>
      <c r="DO50" s="46">
        <v>0</v>
      </c>
      <c r="DP50" s="46">
        <v>0</v>
      </c>
      <c r="DQ50" s="46">
        <v>0</v>
      </c>
      <c r="DR50" s="46">
        <v>0</v>
      </c>
      <c r="DS50" s="46">
        <v>0</v>
      </c>
      <c r="DT50" s="46">
        <v>0</v>
      </c>
      <c r="DU50" s="46">
        <v>0</v>
      </c>
      <c r="DV50" s="46">
        <v>0</v>
      </c>
      <c r="DW50" s="46">
        <v>0</v>
      </c>
      <c r="DX50" s="46">
        <v>0</v>
      </c>
      <c r="DY50" s="46">
        <v>0</v>
      </c>
      <c r="DZ50" s="46">
        <v>0</v>
      </c>
      <c r="EA50" s="46">
        <v>0</v>
      </c>
      <c r="EB50" s="46">
        <v>0</v>
      </c>
      <c r="EC50" s="46">
        <v>0</v>
      </c>
      <c r="ED50" s="46">
        <v>0</v>
      </c>
      <c r="EE50" s="46">
        <v>0</v>
      </c>
      <c r="EF50" s="46">
        <v>0</v>
      </c>
      <c r="EG50" s="46">
        <v>0</v>
      </c>
      <c r="EH50" s="46">
        <v>0</v>
      </c>
      <c r="EI50" s="46">
        <v>0</v>
      </c>
      <c r="EJ50" s="45">
        <v>0</v>
      </c>
      <c r="EK50" s="63">
        <f>SUM(O50:$Z$50)</f>
        <v>3157673.67</v>
      </c>
      <c r="EL50" s="63">
        <v>0</v>
      </c>
      <c r="EN50" s="21"/>
    </row>
    <row r="51" spans="1:144" s="13" customFormat="1" ht="25" customHeight="1">
      <c r="A51" s="87"/>
      <c r="B51" s="86" t="s">
        <v>23</v>
      </c>
      <c r="C51" s="49" t="s">
        <v>1</v>
      </c>
      <c r="D51" s="64"/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2623.61</v>
      </c>
      <c r="M51" s="46">
        <v>0</v>
      </c>
      <c r="N51" s="46">
        <f>126922.49+32933.06</f>
        <v>159855.54999999999</v>
      </c>
      <c r="O51" s="46">
        <v>0</v>
      </c>
      <c r="P51" s="46">
        <v>42661.2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Z51" s="45">
        <f>146228.25+39335.17</f>
        <v>185563.41999999998</v>
      </c>
      <c r="AA51" s="64">
        <f>SUM(E51:$Z$51)-Y51</f>
        <v>390703.77999999997</v>
      </c>
      <c r="AB51" s="63">
        <f>580000-AA51</f>
        <v>189296.22000000003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111230</v>
      </c>
      <c r="AL51" s="46">
        <v>196673.84999999998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f>42663.28+164139.43</f>
        <v>206802.71</v>
      </c>
      <c r="AU51" s="64">
        <f>SUM(AC51:$AT$51)</f>
        <v>514706.55999999994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5">
        <v>0</v>
      </c>
      <c r="BR51" s="63" t="e">
        <f>SUM(#REF!)</f>
        <v>#REF!</v>
      </c>
      <c r="BS51" s="63">
        <v>0</v>
      </c>
      <c r="BT51" s="46">
        <v>0</v>
      </c>
      <c r="BU51" s="46">
        <v>0</v>
      </c>
      <c r="BV51" s="46">
        <v>0</v>
      </c>
      <c r="BW51" s="46">
        <v>0</v>
      </c>
      <c r="BX51" s="46">
        <v>0</v>
      </c>
      <c r="BY51" s="46">
        <v>0</v>
      </c>
      <c r="BZ51" s="46">
        <v>0</v>
      </c>
      <c r="CA51" s="46">
        <v>0</v>
      </c>
      <c r="CB51" s="46">
        <v>0</v>
      </c>
      <c r="CC51" s="46">
        <v>0</v>
      </c>
      <c r="CD51" s="46">
        <v>0</v>
      </c>
      <c r="CE51" s="46">
        <v>0</v>
      </c>
      <c r="CF51" s="46">
        <v>0</v>
      </c>
      <c r="CG51" s="46">
        <v>0</v>
      </c>
      <c r="CH51" s="46">
        <v>0</v>
      </c>
      <c r="CI51" s="46">
        <v>0</v>
      </c>
      <c r="CJ51" s="46">
        <v>0</v>
      </c>
      <c r="CK51" s="46">
        <v>0</v>
      </c>
      <c r="CL51" s="46">
        <v>0</v>
      </c>
      <c r="CM51" s="46">
        <v>0</v>
      </c>
      <c r="CN51" s="46">
        <v>0</v>
      </c>
      <c r="CO51" s="45">
        <v>0</v>
      </c>
      <c r="CP51" s="63">
        <f>SUM(K51:$Z$51)</f>
        <v>390703.77999999997</v>
      </c>
      <c r="CQ51" s="63">
        <v>0</v>
      </c>
      <c r="CR51" s="46">
        <v>0</v>
      </c>
      <c r="CS51" s="46">
        <v>0</v>
      </c>
      <c r="CT51" s="46">
        <v>0</v>
      </c>
      <c r="CU51" s="46">
        <v>0</v>
      </c>
      <c r="CV51" s="46">
        <v>0</v>
      </c>
      <c r="CW51" s="46">
        <v>0</v>
      </c>
      <c r="CX51" s="46">
        <v>0</v>
      </c>
      <c r="CY51" s="46">
        <v>0</v>
      </c>
      <c r="CZ51" s="46">
        <v>0</v>
      </c>
      <c r="DA51" s="46">
        <v>0</v>
      </c>
      <c r="DB51" s="46">
        <v>0</v>
      </c>
      <c r="DC51" s="46">
        <v>0</v>
      </c>
      <c r="DD51" s="46">
        <v>0</v>
      </c>
      <c r="DE51" s="46">
        <v>0</v>
      </c>
      <c r="DF51" s="46">
        <v>0</v>
      </c>
      <c r="DG51" s="46">
        <v>0</v>
      </c>
      <c r="DH51" s="46">
        <v>0</v>
      </c>
      <c r="DI51" s="46">
        <v>0</v>
      </c>
      <c r="DJ51" s="46">
        <v>0</v>
      </c>
      <c r="DK51" s="46">
        <v>0</v>
      </c>
      <c r="DL51" s="45">
        <v>0</v>
      </c>
      <c r="DM51" s="63">
        <f>SUM(M51:$Z$51)</f>
        <v>388080.17</v>
      </c>
      <c r="DN51" s="63">
        <v>0</v>
      </c>
      <c r="DO51" s="46">
        <v>0</v>
      </c>
      <c r="DP51" s="46">
        <v>0</v>
      </c>
      <c r="DQ51" s="46">
        <v>0</v>
      </c>
      <c r="DR51" s="46">
        <v>0</v>
      </c>
      <c r="DS51" s="46">
        <v>0</v>
      </c>
      <c r="DT51" s="46">
        <v>0</v>
      </c>
      <c r="DU51" s="46">
        <v>0</v>
      </c>
      <c r="DV51" s="46">
        <v>0</v>
      </c>
      <c r="DW51" s="46">
        <v>0</v>
      </c>
      <c r="DX51" s="46">
        <v>0</v>
      </c>
      <c r="DY51" s="46">
        <v>0</v>
      </c>
      <c r="DZ51" s="46">
        <v>0</v>
      </c>
      <c r="EA51" s="46">
        <v>0</v>
      </c>
      <c r="EB51" s="46">
        <v>0</v>
      </c>
      <c r="EC51" s="46">
        <v>0</v>
      </c>
      <c r="ED51" s="46">
        <v>0</v>
      </c>
      <c r="EE51" s="46">
        <v>0</v>
      </c>
      <c r="EF51" s="46">
        <v>0</v>
      </c>
      <c r="EG51" s="46">
        <v>0</v>
      </c>
      <c r="EH51" s="46">
        <v>0</v>
      </c>
      <c r="EI51" s="46">
        <v>0</v>
      </c>
      <c r="EJ51" s="45">
        <v>0</v>
      </c>
      <c r="EK51" s="63">
        <f>SUM(O51:$Z$51)</f>
        <v>228224.62</v>
      </c>
      <c r="EL51" s="63">
        <v>0</v>
      </c>
      <c r="EN51" s="21"/>
    </row>
    <row r="52" spans="1:144" s="13" customFormat="1" ht="25" customHeight="1">
      <c r="A52" s="87"/>
      <c r="B52" s="86">
        <v>715</v>
      </c>
      <c r="C52" s="55" t="s">
        <v>15</v>
      </c>
      <c r="D52" s="54"/>
      <c r="E52" s="46">
        <f>136.43+26843.65</f>
        <v>26980.080000000002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Z52" s="45">
        <v>0</v>
      </c>
      <c r="AA52" s="54">
        <f>SUM(E52:$Z$52)-Y52</f>
        <v>26980.080000000002</v>
      </c>
      <c r="AB52" s="51">
        <f>900000-AA52</f>
        <v>873019.92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f>23126.38+3117.9</f>
        <v>26244.280000000002</v>
      </c>
      <c r="AQ52" s="46">
        <v>347039.02</v>
      </c>
      <c r="AR52" s="46">
        <v>0</v>
      </c>
      <c r="AS52" s="46">
        <v>0</v>
      </c>
      <c r="AT52" s="46">
        <v>0</v>
      </c>
      <c r="AU52" s="54">
        <f>SUM(AC52:$AT$52)</f>
        <v>373283.30000000005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5">
        <v>0</v>
      </c>
      <c r="BR52" s="51" t="e">
        <f>SUM(#REF!)</f>
        <v>#REF!</v>
      </c>
      <c r="BS52" s="51">
        <v>0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  <c r="BZ52" s="46">
        <v>0</v>
      </c>
      <c r="CA52" s="46">
        <v>0</v>
      </c>
      <c r="CB52" s="46">
        <v>0</v>
      </c>
      <c r="CC52" s="46">
        <v>0</v>
      </c>
      <c r="CD52" s="46">
        <v>0</v>
      </c>
      <c r="CE52" s="46">
        <v>0</v>
      </c>
      <c r="CF52" s="46">
        <v>0</v>
      </c>
      <c r="CG52" s="46">
        <v>0</v>
      </c>
      <c r="CH52" s="46">
        <v>0</v>
      </c>
      <c r="CI52" s="46">
        <v>0</v>
      </c>
      <c r="CJ52" s="46">
        <v>0</v>
      </c>
      <c r="CK52" s="46">
        <v>0</v>
      </c>
      <c r="CL52" s="46">
        <v>0</v>
      </c>
      <c r="CM52" s="46">
        <v>0</v>
      </c>
      <c r="CN52" s="46">
        <v>0</v>
      </c>
      <c r="CO52" s="45">
        <v>0</v>
      </c>
      <c r="CP52" s="51">
        <f>SUM(K52:$Z$52)</f>
        <v>0</v>
      </c>
      <c r="CQ52" s="51">
        <v>0</v>
      </c>
      <c r="CR52" s="46">
        <v>0</v>
      </c>
      <c r="CS52" s="46">
        <v>0</v>
      </c>
      <c r="CT52" s="46">
        <v>0</v>
      </c>
      <c r="CU52" s="46">
        <v>0</v>
      </c>
      <c r="CV52" s="46">
        <v>0</v>
      </c>
      <c r="CW52" s="46">
        <v>0</v>
      </c>
      <c r="CX52" s="46">
        <v>0</v>
      </c>
      <c r="CY52" s="46">
        <v>0</v>
      </c>
      <c r="CZ52" s="46">
        <v>0</v>
      </c>
      <c r="DA52" s="46">
        <v>0</v>
      </c>
      <c r="DB52" s="46">
        <v>0</v>
      </c>
      <c r="DC52" s="46">
        <v>0</v>
      </c>
      <c r="DD52" s="46">
        <v>0</v>
      </c>
      <c r="DE52" s="46">
        <v>0</v>
      </c>
      <c r="DF52" s="46">
        <v>0</v>
      </c>
      <c r="DG52" s="46">
        <v>0</v>
      </c>
      <c r="DH52" s="46">
        <v>0</v>
      </c>
      <c r="DI52" s="46">
        <v>0</v>
      </c>
      <c r="DJ52" s="46">
        <v>0</v>
      </c>
      <c r="DK52" s="46">
        <v>0</v>
      </c>
      <c r="DL52" s="45">
        <v>0</v>
      </c>
      <c r="DM52" s="51">
        <f>SUM(M52:$Z$52)</f>
        <v>0</v>
      </c>
      <c r="DN52" s="51">
        <v>0</v>
      </c>
      <c r="DO52" s="46">
        <v>0</v>
      </c>
      <c r="DP52" s="46">
        <v>0</v>
      </c>
      <c r="DQ52" s="46">
        <v>0</v>
      </c>
      <c r="DR52" s="46">
        <v>0</v>
      </c>
      <c r="DS52" s="46">
        <v>0</v>
      </c>
      <c r="DT52" s="46">
        <v>0</v>
      </c>
      <c r="DU52" s="46">
        <v>0</v>
      </c>
      <c r="DV52" s="46">
        <v>0</v>
      </c>
      <c r="DW52" s="46">
        <v>0</v>
      </c>
      <c r="DX52" s="46">
        <v>0</v>
      </c>
      <c r="DY52" s="46">
        <v>0</v>
      </c>
      <c r="DZ52" s="46">
        <v>0</v>
      </c>
      <c r="EA52" s="46">
        <v>0</v>
      </c>
      <c r="EB52" s="46">
        <v>0</v>
      </c>
      <c r="EC52" s="46">
        <v>0</v>
      </c>
      <c r="ED52" s="46">
        <v>0</v>
      </c>
      <c r="EE52" s="46">
        <v>0</v>
      </c>
      <c r="EF52" s="46">
        <v>0</v>
      </c>
      <c r="EG52" s="46">
        <v>0</v>
      </c>
      <c r="EH52" s="46">
        <v>0</v>
      </c>
      <c r="EI52" s="46">
        <v>0</v>
      </c>
      <c r="EJ52" s="45">
        <v>0</v>
      </c>
      <c r="EK52" s="51">
        <f>SUM(O52:$Z$52)</f>
        <v>0</v>
      </c>
      <c r="EL52" s="51">
        <v>0</v>
      </c>
      <c r="EN52" s="21"/>
    </row>
    <row r="53" spans="1:144" s="13" customFormat="1" ht="25" customHeight="1">
      <c r="A53" s="87"/>
      <c r="B53" s="86" t="s">
        <v>22</v>
      </c>
      <c r="C53" s="55" t="s">
        <v>14</v>
      </c>
      <c r="D53" s="54"/>
      <c r="E53" s="46">
        <f>65665.1+5980.83+511.21-2</f>
        <v>72155.140000000014</v>
      </c>
      <c r="F53" s="46">
        <f>41651.76+3695.1+470.88</f>
        <v>45817.74</v>
      </c>
      <c r="G53" s="46">
        <f>63821.36+1661.16+564.35-2</f>
        <v>66044.87000000001</v>
      </c>
      <c r="H53" s="46">
        <f>208382.61+4102.76+2241.04-1</f>
        <v>214725.41</v>
      </c>
      <c r="I53" s="46">
        <f>52249.63+1705.85+482.87-1</f>
        <v>54437.35</v>
      </c>
      <c r="J53" s="46">
        <f>38888.25+1593.58+340.08</f>
        <v>40821.910000000003</v>
      </c>
      <c r="K53" s="46">
        <f>24077.39+1265.49+264.87</f>
        <v>25607.75</v>
      </c>
      <c r="L53" s="46">
        <f>32881.47+1243.69+222.36</f>
        <v>34347.520000000004</v>
      </c>
      <c r="M53" s="46">
        <f>56370.63+1443.16+216.91</f>
        <v>58030.700000000004</v>
      </c>
      <c r="N53" s="46">
        <f>37810.01+1129.24+219.09</f>
        <v>39158.339999999997</v>
      </c>
      <c r="O53" s="46">
        <f>31518.93+1122.7+160.23</f>
        <v>32801.86</v>
      </c>
      <c r="P53" s="46">
        <f>945.03+140.61+32013.83</f>
        <v>33099.47</v>
      </c>
      <c r="Q53" s="46">
        <f>1131.42+147.15+30104.76-1</f>
        <v>31382.329999999998</v>
      </c>
      <c r="R53" s="46">
        <f>1449.7+353.16+58554.87</f>
        <v>60357.73</v>
      </c>
      <c r="S53" s="46">
        <f>1160.85+252.88+35193.6+1.5+1.5</f>
        <v>36610.33</v>
      </c>
      <c r="T53" s="46">
        <f>1374.49+243.07+38599.84</f>
        <v>40217.399999999994</v>
      </c>
      <c r="U53" s="46">
        <f>34164.61+1379.94+207.1</f>
        <v>35751.65</v>
      </c>
      <c r="V53" s="46">
        <f>32344.62+2501.55+156.96</f>
        <v>35003.129999999997</v>
      </c>
      <c r="W53" s="46">
        <f>5866.38+404.39+66002.75</f>
        <v>72273.52</v>
      </c>
      <c r="X53" s="46">
        <f>5186.22+336.81+43860.62</f>
        <v>49383.65</v>
      </c>
      <c r="Z53" s="45">
        <f>40814.35+6311.1+316.1</f>
        <v>47441.549999999996</v>
      </c>
      <c r="AA53" s="54">
        <f>SUM(E53:$Z$53)-Y53</f>
        <v>1125469.3499999999</v>
      </c>
      <c r="AB53" s="51">
        <f>1066870.64-AA53</f>
        <v>-58598.709999999963</v>
      </c>
      <c r="AC53" s="46">
        <v>49255.390000000007</v>
      </c>
      <c r="AD53" s="46">
        <v>67740.3</v>
      </c>
      <c r="AE53" s="46">
        <v>113737.77</v>
      </c>
      <c r="AF53" s="46">
        <v>70841.010000000009</v>
      </c>
      <c r="AG53" s="46">
        <v>54975.479999999996</v>
      </c>
      <c r="AH53" s="46">
        <v>49865.5</v>
      </c>
      <c r="AI53" s="46">
        <v>52833.760000000002</v>
      </c>
      <c r="AJ53" s="46">
        <v>79250.720000000016</v>
      </c>
      <c r="AK53" s="46">
        <v>49062.35</v>
      </c>
      <c r="AL53" s="46">
        <v>44416.41</v>
      </c>
      <c r="AM53" s="46">
        <f>36808.18+1232.79+407.66</f>
        <v>38448.630000000005</v>
      </c>
      <c r="AN53" s="46">
        <f>34862.25+1474.77+378.23</f>
        <v>36715.25</v>
      </c>
      <c r="AO53" s="46">
        <f>58448.7+1431.17+800.06</f>
        <v>60679.929999999993</v>
      </c>
      <c r="AP53" s="46">
        <f>43030+1085.64+627.84</f>
        <v>44743.479999999996</v>
      </c>
      <c r="AQ53" s="46">
        <f>41433.53+1714.57+486.14</f>
        <v>43634.239999999998</v>
      </c>
      <c r="AR53" s="46">
        <f>77529.84+5048.81+919.96</f>
        <v>83498.61</v>
      </c>
      <c r="AS53" s="46">
        <f>46037.06+4654.3+576.61</f>
        <v>51267.97</v>
      </c>
      <c r="AT53" s="46">
        <f>39761.45+7094.81+526.47</f>
        <v>47382.729999999996</v>
      </c>
      <c r="AU53" s="54">
        <f>SUM(AC53:$AT$53)</f>
        <v>1038349.5299999999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5">
        <v>0</v>
      </c>
      <c r="BR53" s="51" t="e">
        <f>SUM(#REF!)</f>
        <v>#REF!</v>
      </c>
      <c r="BS53" s="51">
        <v>0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  <c r="BZ53" s="46">
        <v>0</v>
      </c>
      <c r="CA53" s="46">
        <v>0</v>
      </c>
      <c r="CB53" s="46">
        <v>0</v>
      </c>
      <c r="CC53" s="46">
        <v>0</v>
      </c>
      <c r="CD53" s="46">
        <v>0</v>
      </c>
      <c r="CE53" s="46">
        <v>0</v>
      </c>
      <c r="CF53" s="46">
        <v>0</v>
      </c>
      <c r="CG53" s="46">
        <v>0</v>
      </c>
      <c r="CH53" s="46">
        <v>0</v>
      </c>
      <c r="CI53" s="46">
        <v>0</v>
      </c>
      <c r="CJ53" s="46">
        <v>0</v>
      </c>
      <c r="CK53" s="46">
        <v>0</v>
      </c>
      <c r="CL53" s="46">
        <v>0</v>
      </c>
      <c r="CM53" s="46">
        <v>0</v>
      </c>
      <c r="CN53" s="46">
        <v>0</v>
      </c>
      <c r="CO53" s="45">
        <v>0</v>
      </c>
      <c r="CP53" s="51">
        <f>SUM(K53:$Z$53)</f>
        <v>631466.93000000005</v>
      </c>
      <c r="CQ53" s="51">
        <v>0</v>
      </c>
      <c r="CR53" s="46">
        <v>0</v>
      </c>
      <c r="CS53" s="46">
        <v>0</v>
      </c>
      <c r="CT53" s="46">
        <v>0</v>
      </c>
      <c r="CU53" s="46">
        <v>0</v>
      </c>
      <c r="CV53" s="46">
        <v>0</v>
      </c>
      <c r="CW53" s="46">
        <v>0</v>
      </c>
      <c r="CX53" s="46">
        <v>0</v>
      </c>
      <c r="CY53" s="46">
        <v>0</v>
      </c>
      <c r="CZ53" s="46">
        <v>0</v>
      </c>
      <c r="DA53" s="46">
        <v>0</v>
      </c>
      <c r="DB53" s="46">
        <v>0</v>
      </c>
      <c r="DC53" s="46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6">
        <v>0</v>
      </c>
      <c r="DJ53" s="46">
        <v>0</v>
      </c>
      <c r="DK53" s="46">
        <v>0</v>
      </c>
      <c r="DL53" s="45">
        <v>0</v>
      </c>
      <c r="DM53" s="51">
        <f>SUM(M53:$Z$53)</f>
        <v>571511.66000000015</v>
      </c>
      <c r="DN53" s="51">
        <v>0</v>
      </c>
      <c r="DO53" s="46">
        <v>0</v>
      </c>
      <c r="DP53" s="46">
        <v>0</v>
      </c>
      <c r="DQ53" s="46">
        <v>0</v>
      </c>
      <c r="DR53" s="46">
        <v>0</v>
      </c>
      <c r="DS53" s="46">
        <v>0</v>
      </c>
      <c r="DT53" s="46">
        <v>0</v>
      </c>
      <c r="DU53" s="46">
        <v>0</v>
      </c>
      <c r="DV53" s="46">
        <v>0</v>
      </c>
      <c r="DW53" s="46">
        <v>0</v>
      </c>
      <c r="DX53" s="46">
        <v>0</v>
      </c>
      <c r="DY53" s="46">
        <v>0</v>
      </c>
      <c r="DZ53" s="46">
        <v>0</v>
      </c>
      <c r="EA53" s="46">
        <v>0</v>
      </c>
      <c r="EB53" s="46">
        <v>0</v>
      </c>
      <c r="EC53" s="46">
        <v>0</v>
      </c>
      <c r="ED53" s="46">
        <v>0</v>
      </c>
      <c r="EE53" s="46">
        <v>0</v>
      </c>
      <c r="EF53" s="46">
        <v>0</v>
      </c>
      <c r="EG53" s="46">
        <v>0</v>
      </c>
      <c r="EH53" s="46">
        <v>0</v>
      </c>
      <c r="EI53" s="46">
        <v>0</v>
      </c>
      <c r="EJ53" s="45">
        <v>0</v>
      </c>
      <c r="EK53" s="51">
        <f>SUM(O53:$Z$53)</f>
        <v>474322.62000000005</v>
      </c>
      <c r="EL53" s="51">
        <v>0</v>
      </c>
      <c r="EN53" s="21"/>
    </row>
    <row r="54" spans="1:144" s="13" customFormat="1" ht="25" customHeight="1">
      <c r="A54" s="87"/>
      <c r="B54" s="86" t="s">
        <v>21</v>
      </c>
      <c r="C54" s="55" t="s">
        <v>20</v>
      </c>
      <c r="D54" s="54"/>
      <c r="E54" s="46">
        <v>193.29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f>683445.36+1086286.33+26176.29+111.37</f>
        <v>1796019.35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Z54" s="45">
        <v>0</v>
      </c>
      <c r="AA54" s="54">
        <f>SUM(E54:$Z$54)-Y54</f>
        <v>1796212.6400000001</v>
      </c>
      <c r="AB54" s="51">
        <f>-1853665+1807950+1853665-AA54</f>
        <v>11737.35999999987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204.39</v>
      </c>
      <c r="AQ54" s="46">
        <v>3076.68</v>
      </c>
      <c r="AR54" s="46">
        <v>0</v>
      </c>
      <c r="AS54" s="46">
        <f>675712.91+1077241.96+2136.59+113.56</f>
        <v>1755205.0200000003</v>
      </c>
      <c r="AT54" s="46">
        <v>0</v>
      </c>
      <c r="AU54" s="54">
        <f>SUM(AC54:$AT$54)</f>
        <v>1758486.0900000003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0</v>
      </c>
      <c r="BC54" s="46">
        <v>0</v>
      </c>
      <c r="BD54" s="46">
        <v>0</v>
      </c>
      <c r="BE54" s="46">
        <v>0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46">
        <v>0</v>
      </c>
      <c r="BM54" s="46">
        <v>0</v>
      </c>
      <c r="BN54" s="46">
        <v>0</v>
      </c>
      <c r="BO54" s="46">
        <v>0</v>
      </c>
      <c r="BP54" s="46">
        <v>0</v>
      </c>
      <c r="BQ54" s="45">
        <v>0</v>
      </c>
      <c r="BR54" s="51" t="e">
        <f>SUM(#REF!)</f>
        <v>#REF!</v>
      </c>
      <c r="BS54" s="51">
        <v>0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  <c r="BZ54" s="46">
        <v>0</v>
      </c>
      <c r="CA54" s="46">
        <v>0</v>
      </c>
      <c r="CB54" s="46">
        <v>0</v>
      </c>
      <c r="CC54" s="46">
        <v>0</v>
      </c>
      <c r="CD54" s="46">
        <v>0</v>
      </c>
      <c r="CE54" s="46">
        <v>0</v>
      </c>
      <c r="CF54" s="46">
        <v>0</v>
      </c>
      <c r="CG54" s="46">
        <v>0</v>
      </c>
      <c r="CH54" s="46">
        <v>0</v>
      </c>
      <c r="CI54" s="46">
        <v>0</v>
      </c>
      <c r="CJ54" s="46">
        <v>0</v>
      </c>
      <c r="CK54" s="46">
        <v>0</v>
      </c>
      <c r="CL54" s="46">
        <v>0</v>
      </c>
      <c r="CM54" s="46">
        <v>0</v>
      </c>
      <c r="CN54" s="46">
        <v>0</v>
      </c>
      <c r="CO54" s="45">
        <v>0</v>
      </c>
      <c r="CP54" s="51">
        <f>SUM(K54:$Z$54)</f>
        <v>1796019.35</v>
      </c>
      <c r="CQ54" s="51">
        <v>0</v>
      </c>
      <c r="CR54" s="46">
        <v>0</v>
      </c>
      <c r="CS54" s="46">
        <v>0</v>
      </c>
      <c r="CT54" s="46">
        <v>0</v>
      </c>
      <c r="CU54" s="46">
        <v>0</v>
      </c>
      <c r="CV54" s="46">
        <v>0</v>
      </c>
      <c r="CW54" s="46">
        <v>0</v>
      </c>
      <c r="CX54" s="46">
        <v>0</v>
      </c>
      <c r="CY54" s="46">
        <v>0</v>
      </c>
      <c r="CZ54" s="46">
        <v>0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6">
        <v>0</v>
      </c>
      <c r="DJ54" s="46">
        <v>0</v>
      </c>
      <c r="DK54" s="46">
        <v>0</v>
      </c>
      <c r="DL54" s="45">
        <v>0</v>
      </c>
      <c r="DM54" s="51">
        <f>SUM(M54:$Z$54)</f>
        <v>1796019.35</v>
      </c>
      <c r="DN54" s="51">
        <v>0</v>
      </c>
      <c r="DO54" s="46">
        <v>0</v>
      </c>
      <c r="DP54" s="46">
        <v>0</v>
      </c>
      <c r="DQ54" s="46">
        <v>0</v>
      </c>
      <c r="DR54" s="46">
        <v>0</v>
      </c>
      <c r="DS54" s="46">
        <v>0</v>
      </c>
      <c r="DT54" s="46">
        <v>0</v>
      </c>
      <c r="DU54" s="46">
        <v>0</v>
      </c>
      <c r="DV54" s="46">
        <v>0</v>
      </c>
      <c r="DW54" s="46">
        <v>0</v>
      </c>
      <c r="DX54" s="46">
        <v>0</v>
      </c>
      <c r="DY54" s="46">
        <v>0</v>
      </c>
      <c r="DZ54" s="46">
        <v>0</v>
      </c>
      <c r="EA54" s="46">
        <v>0</v>
      </c>
      <c r="EB54" s="46">
        <v>0</v>
      </c>
      <c r="EC54" s="46">
        <v>0</v>
      </c>
      <c r="ED54" s="46">
        <v>0</v>
      </c>
      <c r="EE54" s="46">
        <v>0</v>
      </c>
      <c r="EF54" s="46">
        <v>0</v>
      </c>
      <c r="EG54" s="46">
        <v>0</v>
      </c>
      <c r="EH54" s="46">
        <v>0</v>
      </c>
      <c r="EI54" s="46">
        <v>0</v>
      </c>
      <c r="EJ54" s="45">
        <v>0</v>
      </c>
      <c r="EK54" s="51">
        <f>SUM(O54:$Z$54)</f>
        <v>1796019.35</v>
      </c>
      <c r="EL54" s="51">
        <v>0</v>
      </c>
      <c r="EN54" s="21"/>
    </row>
    <row r="55" spans="1:144" s="13" customFormat="1" ht="25" customHeight="1">
      <c r="A55" s="87"/>
      <c r="B55" s="86">
        <v>740</v>
      </c>
      <c r="C55" s="55" t="s">
        <v>0</v>
      </c>
      <c r="D55" s="54"/>
      <c r="E55" s="46">
        <v>3471</v>
      </c>
      <c r="F55" s="46">
        <v>7581</v>
      </c>
      <c r="G55" s="46">
        <v>7689</v>
      </c>
      <c r="H55" s="46">
        <v>5961</v>
      </c>
      <c r="I55" s="46">
        <v>3983</v>
      </c>
      <c r="J55" s="46">
        <v>3738</v>
      </c>
      <c r="K55" s="46">
        <v>3895.5</v>
      </c>
      <c r="L55" s="46">
        <v>7273</v>
      </c>
      <c r="M55" s="46">
        <v>3804.5</v>
      </c>
      <c r="N55" s="46">
        <v>3909.5</v>
      </c>
      <c r="O55" s="46">
        <f>254871+3237.5</f>
        <v>258108.5</v>
      </c>
      <c r="P55" s="46">
        <v>3416</v>
      </c>
      <c r="Q55" s="46">
        <v>7553</v>
      </c>
      <c r="R55" s="46">
        <v>3468.5</v>
      </c>
      <c r="S55" s="46">
        <v>3545.5</v>
      </c>
      <c r="T55" s="46">
        <v>3846.5</v>
      </c>
      <c r="U55" s="46">
        <v>3409</v>
      </c>
      <c r="V55" s="46">
        <v>3272.5</v>
      </c>
      <c r="W55" s="46">
        <v>8785</v>
      </c>
      <c r="X55" s="46">
        <v>3241</v>
      </c>
      <c r="Z55" s="45">
        <v>2695</v>
      </c>
      <c r="AA55" s="54">
        <f>SUM(E$55:$Z55)-Y55</f>
        <v>352646</v>
      </c>
      <c r="AB55" s="51">
        <v>0</v>
      </c>
      <c r="AC55" s="46">
        <v>2887.5</v>
      </c>
      <c r="AD55" s="46">
        <v>7220.5</v>
      </c>
      <c r="AE55" s="46">
        <v>2607.5</v>
      </c>
      <c r="AF55" s="46">
        <v>2432.5</v>
      </c>
      <c r="AG55" s="46">
        <v>2614.5</v>
      </c>
      <c r="AH55" s="46">
        <v>2114</v>
      </c>
      <c r="AI55" s="46">
        <v>6758.5</v>
      </c>
      <c r="AJ55" s="46">
        <v>7573</v>
      </c>
      <c r="AK55" s="46">
        <v>2527</v>
      </c>
      <c r="AL55" s="46">
        <v>129315.5</v>
      </c>
      <c r="AM55" s="46">
        <v>2733.5</v>
      </c>
      <c r="AN55" s="46">
        <v>10461.5</v>
      </c>
      <c r="AO55" s="46">
        <v>2765</v>
      </c>
      <c r="AP55" s="46">
        <v>2467.5</v>
      </c>
      <c r="AQ55" s="46">
        <v>6317.5</v>
      </c>
      <c r="AR55" s="46">
        <f>2723+184250</f>
        <v>186973</v>
      </c>
      <c r="AS55" s="46">
        <v>2586.5</v>
      </c>
      <c r="AT55" s="46">
        <v>2282</v>
      </c>
      <c r="AU55" s="54">
        <f>SUM(AC55:$AT$55)</f>
        <v>382637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0</v>
      </c>
      <c r="BD55" s="46">
        <v>0</v>
      </c>
      <c r="BE55" s="46">
        <v>0</v>
      </c>
      <c r="BF55" s="46">
        <v>0</v>
      </c>
      <c r="BG55" s="46">
        <v>0</v>
      </c>
      <c r="BH55" s="46">
        <v>0</v>
      </c>
      <c r="BI55" s="46">
        <v>0</v>
      </c>
      <c r="BJ55" s="46">
        <v>0</v>
      </c>
      <c r="BK55" s="46">
        <v>0</v>
      </c>
      <c r="BL55" s="46">
        <v>0</v>
      </c>
      <c r="BM55" s="46">
        <v>0</v>
      </c>
      <c r="BN55" s="46">
        <v>0</v>
      </c>
      <c r="BO55" s="46">
        <v>0</v>
      </c>
      <c r="BP55" s="46">
        <v>0</v>
      </c>
      <c r="BQ55" s="45">
        <v>0</v>
      </c>
      <c r="BR55" s="51" t="e">
        <f>SUM(#REF!)</f>
        <v>#REF!</v>
      </c>
      <c r="BS55" s="51">
        <v>0</v>
      </c>
      <c r="BT55" s="46">
        <v>0</v>
      </c>
      <c r="BU55" s="46">
        <v>0</v>
      </c>
      <c r="BV55" s="46">
        <v>0</v>
      </c>
      <c r="BW55" s="46">
        <v>0</v>
      </c>
      <c r="BX55" s="46">
        <v>0</v>
      </c>
      <c r="BY55" s="46">
        <v>0</v>
      </c>
      <c r="BZ55" s="46">
        <v>0</v>
      </c>
      <c r="CA55" s="46">
        <v>0</v>
      </c>
      <c r="CB55" s="46">
        <v>0</v>
      </c>
      <c r="CC55" s="46">
        <v>0</v>
      </c>
      <c r="CD55" s="46">
        <v>0</v>
      </c>
      <c r="CE55" s="46">
        <v>0</v>
      </c>
      <c r="CF55" s="46">
        <v>0</v>
      </c>
      <c r="CG55" s="46">
        <v>0</v>
      </c>
      <c r="CH55" s="46">
        <v>0</v>
      </c>
      <c r="CI55" s="46">
        <v>0</v>
      </c>
      <c r="CJ55" s="46">
        <v>0</v>
      </c>
      <c r="CK55" s="46">
        <v>0</v>
      </c>
      <c r="CL55" s="46">
        <v>0</v>
      </c>
      <c r="CM55" s="46">
        <v>0</v>
      </c>
      <c r="CN55" s="46">
        <v>0</v>
      </c>
      <c r="CO55" s="45">
        <v>0</v>
      </c>
      <c r="CP55" s="51">
        <f>SUM(K$55:$Z55)</f>
        <v>320223</v>
      </c>
      <c r="CQ55" s="51">
        <v>0</v>
      </c>
      <c r="CR55" s="46">
        <v>0</v>
      </c>
      <c r="CS55" s="46">
        <v>0</v>
      </c>
      <c r="CT55" s="46">
        <v>0</v>
      </c>
      <c r="CU55" s="46">
        <v>0</v>
      </c>
      <c r="CV55" s="46">
        <v>0</v>
      </c>
      <c r="CW55" s="46">
        <v>0</v>
      </c>
      <c r="CX55" s="46">
        <v>0</v>
      </c>
      <c r="CY55" s="46">
        <v>0</v>
      </c>
      <c r="CZ55" s="46">
        <v>0</v>
      </c>
      <c r="DA55" s="46">
        <v>0</v>
      </c>
      <c r="DB55" s="46">
        <v>0</v>
      </c>
      <c r="DC55" s="46">
        <v>0</v>
      </c>
      <c r="DD55" s="46">
        <v>0</v>
      </c>
      <c r="DE55" s="46">
        <v>0</v>
      </c>
      <c r="DF55" s="46">
        <v>0</v>
      </c>
      <c r="DG55" s="46">
        <v>0</v>
      </c>
      <c r="DH55" s="46">
        <v>0</v>
      </c>
      <c r="DI55" s="46">
        <v>0</v>
      </c>
      <c r="DJ55" s="46">
        <v>0</v>
      </c>
      <c r="DK55" s="46">
        <v>0</v>
      </c>
      <c r="DL55" s="45">
        <v>0</v>
      </c>
      <c r="DM55" s="51">
        <f>SUM(M$55:$Z55)</f>
        <v>309054.5</v>
      </c>
      <c r="DN55" s="51">
        <v>0</v>
      </c>
      <c r="DO55" s="46">
        <v>0</v>
      </c>
      <c r="DP55" s="46">
        <v>0</v>
      </c>
      <c r="DQ55" s="46">
        <v>0</v>
      </c>
      <c r="DR55" s="46">
        <v>0</v>
      </c>
      <c r="DS55" s="46">
        <v>0</v>
      </c>
      <c r="DT55" s="46">
        <v>0</v>
      </c>
      <c r="DU55" s="46">
        <v>0</v>
      </c>
      <c r="DV55" s="46">
        <v>0</v>
      </c>
      <c r="DW55" s="46">
        <v>0</v>
      </c>
      <c r="DX55" s="46">
        <v>0</v>
      </c>
      <c r="DY55" s="46">
        <v>0</v>
      </c>
      <c r="DZ55" s="46">
        <v>0</v>
      </c>
      <c r="EA55" s="46">
        <v>0</v>
      </c>
      <c r="EB55" s="46">
        <v>0</v>
      </c>
      <c r="EC55" s="46">
        <v>0</v>
      </c>
      <c r="ED55" s="46">
        <v>0</v>
      </c>
      <c r="EE55" s="46">
        <v>0</v>
      </c>
      <c r="EF55" s="46">
        <v>0</v>
      </c>
      <c r="EG55" s="46">
        <v>0</v>
      </c>
      <c r="EH55" s="46">
        <v>0</v>
      </c>
      <c r="EI55" s="46">
        <v>0</v>
      </c>
      <c r="EJ55" s="45">
        <v>0</v>
      </c>
      <c r="EK55" s="51">
        <f>SUM(O$55:$Z55)</f>
        <v>301340.5</v>
      </c>
      <c r="EL55" s="51">
        <v>0</v>
      </c>
      <c r="EN55" s="21"/>
    </row>
    <row r="56" spans="1:144" s="13" customFormat="1" ht="25" customHeight="1">
      <c r="A56" s="87"/>
      <c r="B56" s="86">
        <v>734</v>
      </c>
      <c r="C56" s="49" t="s">
        <v>12</v>
      </c>
      <c r="D56" s="47"/>
      <c r="E56" s="46">
        <v>0</v>
      </c>
      <c r="F56" s="46">
        <v>393864.69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480981.88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Z56" s="45">
        <v>0</v>
      </c>
      <c r="AA56" s="47">
        <f>SUM(E56:$Z$56)-Y56</f>
        <v>874846.57000000007</v>
      </c>
      <c r="AB56" s="44">
        <f>900000-AA56</f>
        <v>25153.429999999935</v>
      </c>
      <c r="AC56" s="46">
        <v>0</v>
      </c>
      <c r="AD56" s="46">
        <v>0</v>
      </c>
      <c r="AE56" s="46">
        <v>0</v>
      </c>
      <c r="AF56" s="46">
        <v>367007.45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475824.88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7">
        <f>SUM(AC56:$AT$56)</f>
        <v>842832.33000000007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5">
        <v>0</v>
      </c>
      <c r="BR56" s="44" t="e">
        <f>SUM(#REF!)</f>
        <v>#REF!</v>
      </c>
      <c r="BS56" s="44">
        <v>0</v>
      </c>
      <c r="BT56" s="46">
        <v>0</v>
      </c>
      <c r="BU56" s="46">
        <v>0</v>
      </c>
      <c r="BV56" s="46">
        <v>0</v>
      </c>
      <c r="BW56" s="46">
        <v>0</v>
      </c>
      <c r="BX56" s="46">
        <v>0</v>
      </c>
      <c r="BY56" s="46">
        <v>0</v>
      </c>
      <c r="BZ56" s="46">
        <v>0</v>
      </c>
      <c r="CA56" s="46">
        <v>0</v>
      </c>
      <c r="CB56" s="46">
        <v>0</v>
      </c>
      <c r="CC56" s="46">
        <v>0</v>
      </c>
      <c r="CD56" s="46">
        <v>0</v>
      </c>
      <c r="CE56" s="46">
        <v>0</v>
      </c>
      <c r="CF56" s="46">
        <v>0</v>
      </c>
      <c r="CG56" s="46">
        <v>0</v>
      </c>
      <c r="CH56" s="46">
        <v>0</v>
      </c>
      <c r="CI56" s="46">
        <v>0</v>
      </c>
      <c r="CJ56" s="46">
        <v>0</v>
      </c>
      <c r="CK56" s="46">
        <v>0</v>
      </c>
      <c r="CL56" s="46">
        <v>0</v>
      </c>
      <c r="CM56" s="46">
        <v>0</v>
      </c>
      <c r="CN56" s="46">
        <v>0</v>
      </c>
      <c r="CO56" s="45">
        <v>0</v>
      </c>
      <c r="CP56" s="44">
        <f>SUM(K56:$Z$56)</f>
        <v>480981.88</v>
      </c>
      <c r="CQ56" s="44">
        <v>0</v>
      </c>
      <c r="CR56" s="46">
        <v>0</v>
      </c>
      <c r="CS56" s="46">
        <v>0</v>
      </c>
      <c r="CT56" s="46">
        <v>0</v>
      </c>
      <c r="CU56" s="46">
        <v>0</v>
      </c>
      <c r="CV56" s="46">
        <v>0</v>
      </c>
      <c r="CW56" s="46">
        <v>0</v>
      </c>
      <c r="CX56" s="46">
        <v>0</v>
      </c>
      <c r="CY56" s="46">
        <v>0</v>
      </c>
      <c r="CZ56" s="46">
        <v>0</v>
      </c>
      <c r="DA56" s="46">
        <v>0</v>
      </c>
      <c r="DB56" s="46">
        <v>0</v>
      </c>
      <c r="DC56" s="46">
        <v>0</v>
      </c>
      <c r="DD56" s="46">
        <v>0</v>
      </c>
      <c r="DE56" s="46">
        <v>0</v>
      </c>
      <c r="DF56" s="46">
        <v>0</v>
      </c>
      <c r="DG56" s="46">
        <v>0</v>
      </c>
      <c r="DH56" s="46">
        <v>0</v>
      </c>
      <c r="DI56" s="46">
        <v>0</v>
      </c>
      <c r="DJ56" s="46">
        <v>0</v>
      </c>
      <c r="DK56" s="46">
        <v>0</v>
      </c>
      <c r="DL56" s="45">
        <v>0</v>
      </c>
      <c r="DM56" s="44">
        <f>SUM(M56:$Z$56)</f>
        <v>480981.88</v>
      </c>
      <c r="DN56" s="44">
        <v>0</v>
      </c>
      <c r="DO56" s="46">
        <v>0</v>
      </c>
      <c r="DP56" s="46">
        <v>0</v>
      </c>
      <c r="DQ56" s="46">
        <v>0</v>
      </c>
      <c r="DR56" s="46">
        <v>0</v>
      </c>
      <c r="DS56" s="46">
        <v>0</v>
      </c>
      <c r="DT56" s="46">
        <v>0</v>
      </c>
      <c r="DU56" s="46">
        <v>0</v>
      </c>
      <c r="DV56" s="46">
        <v>0</v>
      </c>
      <c r="DW56" s="46">
        <v>0</v>
      </c>
      <c r="DX56" s="46">
        <v>0</v>
      </c>
      <c r="DY56" s="46">
        <v>0</v>
      </c>
      <c r="DZ56" s="46">
        <v>0</v>
      </c>
      <c r="EA56" s="46">
        <v>0</v>
      </c>
      <c r="EB56" s="46">
        <v>0</v>
      </c>
      <c r="EC56" s="46">
        <v>0</v>
      </c>
      <c r="ED56" s="46">
        <v>0</v>
      </c>
      <c r="EE56" s="46">
        <v>0</v>
      </c>
      <c r="EF56" s="46">
        <v>0</v>
      </c>
      <c r="EG56" s="46">
        <v>0</v>
      </c>
      <c r="EH56" s="46">
        <v>0</v>
      </c>
      <c r="EI56" s="46">
        <v>0</v>
      </c>
      <c r="EJ56" s="45">
        <v>0</v>
      </c>
      <c r="EK56" s="44">
        <f>SUM(O56:$Z$56)</f>
        <v>480981.88</v>
      </c>
      <c r="EL56" s="44">
        <v>0</v>
      </c>
      <c r="EN56" s="21"/>
    </row>
    <row r="57" spans="1:144" s="13" customFormat="1" ht="25" customHeight="1">
      <c r="A57" s="87"/>
      <c r="B57" s="88" t="s">
        <v>19</v>
      </c>
      <c r="C57" s="55" t="s">
        <v>11</v>
      </c>
      <c r="D57" s="54"/>
      <c r="E57" s="46">
        <v>0</v>
      </c>
      <c r="F57" s="46">
        <v>0</v>
      </c>
      <c r="G57" s="46">
        <v>0</v>
      </c>
      <c r="H57" s="46">
        <v>0</v>
      </c>
      <c r="I57" s="46">
        <f>3932.31+205</f>
        <v>4137.3099999999995</v>
      </c>
      <c r="J57" s="46">
        <f>1555.95+88</f>
        <v>1643.95</v>
      </c>
      <c r="K57" s="46">
        <v>0</v>
      </c>
      <c r="L57" s="46">
        <v>0</v>
      </c>
      <c r="M57" s="46">
        <v>0</v>
      </c>
      <c r="N57" s="46">
        <v>651</v>
      </c>
      <c r="O57" s="46">
        <v>146</v>
      </c>
      <c r="P57" s="46">
        <v>0</v>
      </c>
      <c r="Q57" s="46">
        <f>991899.61+54625.66</f>
        <v>1046525.27</v>
      </c>
      <c r="R57" s="46">
        <v>0</v>
      </c>
      <c r="S57" s="46">
        <v>36096.17</v>
      </c>
      <c r="T57" s="46">
        <f>42540+4262.56+36</f>
        <v>46838.559999999998</v>
      </c>
      <c r="U57" s="46">
        <v>0</v>
      </c>
      <c r="V57" s="46">
        <v>0</v>
      </c>
      <c r="W57" s="46">
        <v>0</v>
      </c>
      <c r="X57" s="46">
        <v>0</v>
      </c>
      <c r="Z57" s="45">
        <f>2667.56+215831.79</f>
        <v>218499.35</v>
      </c>
      <c r="AA57" s="54">
        <f>SUM(E57:$Z$57)-Y57</f>
        <v>1354537.61</v>
      </c>
      <c r="AB57" s="51">
        <f>1732347-AA57</f>
        <v>377809.3899999999</v>
      </c>
      <c r="AC57" s="46">
        <v>0</v>
      </c>
      <c r="AD57" s="46">
        <v>1507760.89</v>
      </c>
      <c r="AE57" s="46">
        <v>0</v>
      </c>
      <c r="AF57" s="46">
        <v>0</v>
      </c>
      <c r="AG57" s="46">
        <v>1858.06</v>
      </c>
      <c r="AH57" s="46">
        <v>0</v>
      </c>
      <c r="AI57" s="46">
        <v>59625.24</v>
      </c>
      <c r="AJ57" s="46">
        <v>0</v>
      </c>
      <c r="AK57" s="46">
        <v>0</v>
      </c>
      <c r="AL57" s="46">
        <v>9866.1200000000008</v>
      </c>
      <c r="AM57" s="46">
        <v>61773.87</v>
      </c>
      <c r="AN57" s="46">
        <v>0</v>
      </c>
      <c r="AO57" s="46">
        <f>1187.56+294</f>
        <v>1481.56</v>
      </c>
      <c r="AP57" s="46">
        <v>0</v>
      </c>
      <c r="AQ57" s="46">
        <v>0</v>
      </c>
      <c r="AR57" s="46">
        <v>0</v>
      </c>
      <c r="AS57" s="46">
        <v>350</v>
      </c>
      <c r="AT57" s="46">
        <v>252838.99</v>
      </c>
      <c r="AU57" s="54">
        <f>SUM(AC57:$AT$57)</f>
        <v>1895554.7300000002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6">
        <v>0</v>
      </c>
      <c r="BG57" s="46">
        <v>0</v>
      </c>
      <c r="BH57" s="46">
        <v>0</v>
      </c>
      <c r="BI57" s="46">
        <v>0</v>
      </c>
      <c r="BJ57" s="46">
        <v>0</v>
      </c>
      <c r="BK57" s="46">
        <v>0</v>
      </c>
      <c r="BL57" s="46">
        <v>0</v>
      </c>
      <c r="BM57" s="46">
        <v>0</v>
      </c>
      <c r="BN57" s="46">
        <v>0</v>
      </c>
      <c r="BO57" s="46">
        <v>0</v>
      </c>
      <c r="BP57" s="46">
        <v>0</v>
      </c>
      <c r="BQ57" s="45">
        <v>0</v>
      </c>
      <c r="BR57" s="51" t="e">
        <f>SUM(#REF!)</f>
        <v>#REF!</v>
      </c>
      <c r="BS57" s="51">
        <v>0</v>
      </c>
      <c r="BT57" s="46">
        <v>0</v>
      </c>
      <c r="BU57" s="46">
        <v>0</v>
      </c>
      <c r="BV57" s="46">
        <v>0</v>
      </c>
      <c r="BW57" s="46">
        <v>0</v>
      </c>
      <c r="BX57" s="46">
        <v>0</v>
      </c>
      <c r="BY57" s="46">
        <v>0</v>
      </c>
      <c r="BZ57" s="46">
        <v>0</v>
      </c>
      <c r="CA57" s="46">
        <v>0</v>
      </c>
      <c r="CB57" s="46">
        <v>0</v>
      </c>
      <c r="CC57" s="46">
        <v>0</v>
      </c>
      <c r="CD57" s="46">
        <v>0</v>
      </c>
      <c r="CE57" s="46">
        <v>0</v>
      </c>
      <c r="CF57" s="46">
        <v>0</v>
      </c>
      <c r="CG57" s="46">
        <v>0</v>
      </c>
      <c r="CH57" s="46">
        <v>0</v>
      </c>
      <c r="CI57" s="46">
        <v>0</v>
      </c>
      <c r="CJ57" s="46">
        <v>0</v>
      </c>
      <c r="CK57" s="46">
        <v>0</v>
      </c>
      <c r="CL57" s="46">
        <v>0</v>
      </c>
      <c r="CM57" s="46">
        <v>0</v>
      </c>
      <c r="CN57" s="46">
        <v>0</v>
      </c>
      <c r="CO57" s="45">
        <v>0</v>
      </c>
      <c r="CP57" s="51">
        <f>SUM(K57:$Z$57)</f>
        <v>1348756.35</v>
      </c>
      <c r="CQ57" s="51">
        <v>0</v>
      </c>
      <c r="CR57" s="46">
        <v>0</v>
      </c>
      <c r="CS57" s="46">
        <v>0</v>
      </c>
      <c r="CT57" s="46">
        <v>0</v>
      </c>
      <c r="CU57" s="46">
        <v>0</v>
      </c>
      <c r="CV57" s="46">
        <v>0</v>
      </c>
      <c r="CW57" s="46">
        <v>0</v>
      </c>
      <c r="CX57" s="46">
        <v>0</v>
      </c>
      <c r="CY57" s="46">
        <v>0</v>
      </c>
      <c r="CZ57" s="46">
        <v>0</v>
      </c>
      <c r="DA57" s="46">
        <v>0</v>
      </c>
      <c r="DB57" s="46">
        <v>0</v>
      </c>
      <c r="DC57" s="46">
        <v>0</v>
      </c>
      <c r="DD57" s="46">
        <v>0</v>
      </c>
      <c r="DE57" s="46">
        <v>0</v>
      </c>
      <c r="DF57" s="46">
        <v>0</v>
      </c>
      <c r="DG57" s="46">
        <v>0</v>
      </c>
      <c r="DH57" s="46">
        <v>0</v>
      </c>
      <c r="DI57" s="46">
        <v>0</v>
      </c>
      <c r="DJ57" s="46">
        <v>0</v>
      </c>
      <c r="DK57" s="46">
        <v>0</v>
      </c>
      <c r="DL57" s="45">
        <v>0</v>
      </c>
      <c r="DM57" s="51">
        <f>SUM(M57:$Z$57)</f>
        <v>1348756.35</v>
      </c>
      <c r="DN57" s="51">
        <v>0</v>
      </c>
      <c r="DO57" s="46">
        <v>0</v>
      </c>
      <c r="DP57" s="46">
        <v>0</v>
      </c>
      <c r="DQ57" s="46">
        <v>0</v>
      </c>
      <c r="DR57" s="46">
        <v>0</v>
      </c>
      <c r="DS57" s="46">
        <v>0</v>
      </c>
      <c r="DT57" s="46">
        <v>0</v>
      </c>
      <c r="DU57" s="46">
        <v>0</v>
      </c>
      <c r="DV57" s="46">
        <v>0</v>
      </c>
      <c r="DW57" s="46">
        <v>0</v>
      </c>
      <c r="DX57" s="46">
        <v>0</v>
      </c>
      <c r="DY57" s="46">
        <v>0</v>
      </c>
      <c r="DZ57" s="46">
        <v>0</v>
      </c>
      <c r="EA57" s="46">
        <v>0</v>
      </c>
      <c r="EB57" s="46">
        <v>0</v>
      </c>
      <c r="EC57" s="46">
        <v>0</v>
      </c>
      <c r="ED57" s="46">
        <v>0</v>
      </c>
      <c r="EE57" s="46">
        <v>0</v>
      </c>
      <c r="EF57" s="46">
        <v>0</v>
      </c>
      <c r="EG57" s="46">
        <v>0</v>
      </c>
      <c r="EH57" s="46">
        <v>0</v>
      </c>
      <c r="EI57" s="46">
        <v>0</v>
      </c>
      <c r="EJ57" s="45">
        <v>0</v>
      </c>
      <c r="EK57" s="51">
        <f>SUM(O57:$Z$57)</f>
        <v>1348105.35</v>
      </c>
      <c r="EL57" s="51">
        <v>0</v>
      </c>
      <c r="EN57" s="21"/>
    </row>
    <row r="58" spans="1:144" s="13" customFormat="1" ht="25" customHeight="1" thickBot="1">
      <c r="A58" s="87"/>
      <c r="B58" s="86"/>
      <c r="C58" s="42" t="s">
        <v>10</v>
      </c>
      <c r="D58" s="40"/>
      <c r="E58" s="39">
        <v>827.5</v>
      </c>
      <c r="F58" s="39">
        <v>-827.5</v>
      </c>
      <c r="G58" s="39">
        <v>0</v>
      </c>
      <c r="H58" s="39">
        <v>0</v>
      </c>
      <c r="I58" s="39">
        <v>54000</v>
      </c>
      <c r="J58" s="39">
        <f>-39450.53-59928.3</f>
        <v>-99378.83</v>
      </c>
      <c r="K58" s="39">
        <f>25183.38+83195.3</f>
        <v>108378.68000000001</v>
      </c>
      <c r="L58" s="39">
        <v>-54000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f>3827993.97+32573.76+10835.56+29848.93+329069.55+8.48</f>
        <v>4230330.2500000009</v>
      </c>
      <c r="U58" s="39">
        <f>52678.18+8447.78</f>
        <v>61125.96</v>
      </c>
      <c r="V58" s="39">
        <v>0</v>
      </c>
      <c r="W58" s="39">
        <f>162437.1-52678.18+82071.32-8447.78+8447.78+44873.36</f>
        <v>236703.60000000003</v>
      </c>
      <c r="X58" s="39">
        <v>-162437.1</v>
      </c>
      <c r="Z58" s="38">
        <f>82071.32-82071.32+44873.36-44873.36</f>
        <v>0</v>
      </c>
      <c r="AA58" s="40">
        <f>SUM(E58:$Z$58)-Y58</f>
        <v>4374722.5600000005</v>
      </c>
      <c r="AB58" s="37">
        <f>2000000-AA58</f>
        <v>-2374722.5600000005</v>
      </c>
      <c r="AC58" s="39">
        <v>8000</v>
      </c>
      <c r="AD58" s="39">
        <v>261882.82</v>
      </c>
      <c r="AE58" s="39">
        <v>0</v>
      </c>
      <c r="AF58" s="39">
        <v>0</v>
      </c>
      <c r="AG58" s="39">
        <v>-155000</v>
      </c>
      <c r="AH58" s="39">
        <v>0</v>
      </c>
      <c r="AI58" s="39">
        <v>-4528093.54</v>
      </c>
      <c r="AJ58" s="39">
        <v>5356288.55</v>
      </c>
      <c r="AK58" s="39">
        <v>0</v>
      </c>
      <c r="AL58" s="39">
        <v>-65989.100000000006</v>
      </c>
      <c r="AM58" s="39">
        <f>2.02+16000</f>
        <v>16002.02</v>
      </c>
      <c r="AN58" s="39">
        <v>0</v>
      </c>
      <c r="AO58" s="39">
        <v>0</v>
      </c>
      <c r="AP58" s="39">
        <v>0</v>
      </c>
      <c r="AQ58" s="39">
        <v>0</v>
      </c>
      <c r="AR58" s="39">
        <f>32850.88-83195.3+24313.46</f>
        <v>-26030.960000000006</v>
      </c>
      <c r="AS58" s="39">
        <v>-32850.879999999997</v>
      </c>
      <c r="AT58" s="39">
        <v>0</v>
      </c>
      <c r="AU58" s="40">
        <f>SUM(AC58:$AT$58)</f>
        <v>834208.91000000015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39">
        <v>0</v>
      </c>
      <c r="BD58" s="39">
        <v>0</v>
      </c>
      <c r="BE58" s="39">
        <v>0</v>
      </c>
      <c r="BF58" s="39">
        <v>0</v>
      </c>
      <c r="BG58" s="39">
        <v>0</v>
      </c>
      <c r="BH58" s="39">
        <v>0</v>
      </c>
      <c r="BI58" s="39">
        <v>0</v>
      </c>
      <c r="BJ58" s="39">
        <v>0</v>
      </c>
      <c r="BK58" s="39">
        <v>0</v>
      </c>
      <c r="BL58" s="39">
        <v>0</v>
      </c>
      <c r="BM58" s="39">
        <v>0</v>
      </c>
      <c r="BN58" s="39">
        <v>0</v>
      </c>
      <c r="BO58" s="39">
        <v>0</v>
      </c>
      <c r="BP58" s="39">
        <v>0</v>
      </c>
      <c r="BQ58" s="38">
        <v>0</v>
      </c>
      <c r="BR58" s="37" t="e">
        <f>SUM(#REF!)</f>
        <v>#REF!</v>
      </c>
      <c r="BS58" s="37">
        <v>0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0</v>
      </c>
      <c r="CI58" s="39">
        <v>0</v>
      </c>
      <c r="CJ58" s="39">
        <v>0</v>
      </c>
      <c r="CK58" s="39">
        <v>0</v>
      </c>
      <c r="CL58" s="39">
        <v>0</v>
      </c>
      <c r="CM58" s="39">
        <v>0</v>
      </c>
      <c r="CN58" s="39">
        <v>0</v>
      </c>
      <c r="CO58" s="38">
        <v>0</v>
      </c>
      <c r="CP58" s="37">
        <f>SUM(K58:$Z$58)</f>
        <v>4420101.3900000006</v>
      </c>
      <c r="CQ58" s="37">
        <v>0</v>
      </c>
      <c r="CR58" s="39">
        <v>0</v>
      </c>
      <c r="CS58" s="39">
        <v>0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39">
        <v>0</v>
      </c>
      <c r="DA58" s="39">
        <v>0</v>
      </c>
      <c r="DB58" s="39">
        <v>0</v>
      </c>
      <c r="DC58" s="39">
        <v>0</v>
      </c>
      <c r="DD58" s="39">
        <v>0</v>
      </c>
      <c r="DE58" s="39">
        <v>0</v>
      </c>
      <c r="DF58" s="39">
        <v>0</v>
      </c>
      <c r="DG58" s="39">
        <v>0</v>
      </c>
      <c r="DH58" s="39">
        <v>0</v>
      </c>
      <c r="DI58" s="39">
        <v>0</v>
      </c>
      <c r="DJ58" s="39">
        <v>0</v>
      </c>
      <c r="DK58" s="39">
        <v>0</v>
      </c>
      <c r="DL58" s="38">
        <v>0</v>
      </c>
      <c r="DM58" s="37">
        <f>SUM(M58:$Z$58)</f>
        <v>4365722.7100000009</v>
      </c>
      <c r="DN58" s="37">
        <v>0</v>
      </c>
      <c r="DO58" s="39">
        <v>0</v>
      </c>
      <c r="DP58" s="39">
        <v>0</v>
      </c>
      <c r="DQ58" s="39">
        <v>0</v>
      </c>
      <c r="DR58" s="39">
        <v>0</v>
      </c>
      <c r="DS58" s="39">
        <v>0</v>
      </c>
      <c r="DT58" s="39">
        <v>0</v>
      </c>
      <c r="DU58" s="39">
        <v>0</v>
      </c>
      <c r="DV58" s="39">
        <v>0</v>
      </c>
      <c r="DW58" s="39">
        <v>0</v>
      </c>
      <c r="DX58" s="39">
        <v>0</v>
      </c>
      <c r="DY58" s="39">
        <v>0</v>
      </c>
      <c r="DZ58" s="39">
        <v>0</v>
      </c>
      <c r="EA58" s="39">
        <v>0</v>
      </c>
      <c r="EB58" s="39">
        <v>0</v>
      </c>
      <c r="EC58" s="39">
        <v>0</v>
      </c>
      <c r="ED58" s="39">
        <v>0</v>
      </c>
      <c r="EE58" s="39">
        <v>0</v>
      </c>
      <c r="EF58" s="39">
        <v>0</v>
      </c>
      <c r="EG58" s="39">
        <v>0</v>
      </c>
      <c r="EH58" s="39">
        <v>0</v>
      </c>
      <c r="EI58" s="39">
        <v>0</v>
      </c>
      <c r="EJ58" s="38">
        <v>0</v>
      </c>
      <c r="EK58" s="37">
        <f>SUM(O58:$Z$58)</f>
        <v>4365722.7100000009</v>
      </c>
      <c r="EL58" s="37">
        <v>0</v>
      </c>
      <c r="EN58" s="21"/>
    </row>
    <row r="59" spans="1:144" s="12" customFormat="1" ht="25" customHeight="1" thickBot="1">
      <c r="A59" s="9"/>
      <c r="B59" s="11"/>
      <c r="C59" s="7"/>
      <c r="D59" s="30"/>
      <c r="E59" s="85"/>
      <c r="F59" s="85">
        <f>+F61-8731890.85</f>
        <v>0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4"/>
      <c r="Z59" s="84"/>
      <c r="AA59" s="30"/>
      <c r="AB59" s="83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30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3"/>
      <c r="BS59" s="83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3"/>
      <c r="CQ59" s="83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3"/>
      <c r="DN59" s="83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3"/>
      <c r="EL59" s="83"/>
      <c r="EN59" s="82"/>
    </row>
    <row r="60" spans="1:144" s="65" customFormat="1" ht="25" customHeight="1">
      <c r="A60" s="81"/>
      <c r="B60" s="11"/>
      <c r="C60" s="72" t="s">
        <v>18</v>
      </c>
      <c r="D60" s="71"/>
      <c r="E60" s="70">
        <f t="shared" ref="E60:X60" si="55">SUM(E61:E74)-E63</f>
        <v>26786958.019999996</v>
      </c>
      <c r="F60" s="70">
        <f t="shared" si="55"/>
        <v>15517711.709999999</v>
      </c>
      <c r="G60" s="70">
        <f t="shared" si="55"/>
        <v>13787237.969999999</v>
      </c>
      <c r="H60" s="70">
        <f t="shared" si="55"/>
        <v>21213577.699999999</v>
      </c>
      <c r="I60" s="70">
        <f t="shared" si="55"/>
        <v>27293965.650000002</v>
      </c>
      <c r="J60" s="70">
        <f t="shared" si="55"/>
        <v>20835347.970000003</v>
      </c>
      <c r="K60" s="70">
        <f t="shared" si="55"/>
        <v>15400711.520000001</v>
      </c>
      <c r="L60" s="70">
        <f t="shared" si="55"/>
        <v>15139029.23</v>
      </c>
      <c r="M60" s="70">
        <f t="shared" si="55"/>
        <v>15960425.529999999</v>
      </c>
      <c r="N60" s="70">
        <f t="shared" si="55"/>
        <v>16922399.5</v>
      </c>
      <c r="O60" s="70">
        <f t="shared" si="55"/>
        <v>35905652.079999998</v>
      </c>
      <c r="P60" s="70">
        <f t="shared" si="55"/>
        <v>7281339.2199999997</v>
      </c>
      <c r="Q60" s="70">
        <f t="shared" si="55"/>
        <v>10179889.190000003</v>
      </c>
      <c r="R60" s="70">
        <f t="shared" si="55"/>
        <v>12639431.990000002</v>
      </c>
      <c r="S60" s="70">
        <f t="shared" si="55"/>
        <v>11646632.310000001</v>
      </c>
      <c r="T60" s="70">
        <f t="shared" si="55"/>
        <v>12316461.230000002</v>
      </c>
      <c r="U60" s="70">
        <f t="shared" si="55"/>
        <v>68219751.150000006</v>
      </c>
      <c r="V60" s="70">
        <f t="shared" si="55"/>
        <v>16850508.34</v>
      </c>
      <c r="W60" s="70">
        <f t="shared" si="55"/>
        <v>16881653.68</v>
      </c>
      <c r="X60" s="70">
        <f t="shared" si="55"/>
        <v>20789983.639999997</v>
      </c>
      <c r="Z60" s="69">
        <f>SUM(Z61:Z74)-Z63</f>
        <v>34715660.560000002</v>
      </c>
      <c r="AA60" s="71">
        <f>SUM(AA61:AA74)-AA63</f>
        <v>436284328.19000006</v>
      </c>
      <c r="AB60" s="67"/>
      <c r="AC60" s="70">
        <v>16538095.810000001</v>
      </c>
      <c r="AD60" s="70">
        <v>18287283.880000003</v>
      </c>
      <c r="AE60" s="70">
        <v>17397760.669999998</v>
      </c>
      <c r="AF60" s="70">
        <v>17898064.350000001</v>
      </c>
      <c r="AG60" s="70">
        <v>33015744.729999997</v>
      </c>
      <c r="AH60" s="70">
        <v>12991640.949999997</v>
      </c>
      <c r="AI60" s="70">
        <v>11354555.859999999</v>
      </c>
      <c r="AJ60" s="70">
        <v>29995417.780000001</v>
      </c>
      <c r="AK60" s="70">
        <v>17125778.149999999</v>
      </c>
      <c r="AL60" s="70">
        <v>1757316.3700000017</v>
      </c>
      <c r="AM60" s="70">
        <f t="shared" ref="AM60:AN60" si="56">SUM(AM61:AM74)-AM63</f>
        <v>55477845.070000015</v>
      </c>
      <c r="AN60" s="70">
        <f t="shared" si="56"/>
        <v>17300825.890000001</v>
      </c>
      <c r="AO60" s="70">
        <f t="shared" ref="AO60" si="57">SUM(AO61:AO74)-AO63</f>
        <v>20229895.609999996</v>
      </c>
      <c r="AP60" s="70">
        <f t="shared" ref="AP60" si="58">SUM(AP61:AP74)-AP63</f>
        <v>19122723.969999999</v>
      </c>
      <c r="AQ60" s="70">
        <f t="shared" ref="AQ60:AT60" si="59">SUM(AQ61:AQ74)-AQ63</f>
        <v>48532697.089999996</v>
      </c>
      <c r="AR60" s="70">
        <f t="shared" ref="AR60:AT60" si="60">SUM(AR61:AR74)-AR63</f>
        <v>14079404.77</v>
      </c>
      <c r="AS60" s="70">
        <f t="shared" si="60"/>
        <v>20115249.879999999</v>
      </c>
      <c r="AT60" s="70">
        <f t="shared" si="60"/>
        <v>36920206.340000004</v>
      </c>
      <c r="AU60" s="71">
        <f t="shared" ref="AU60" si="61">SUM(AU61:AU74)-AU63</f>
        <v>408140507.17000002</v>
      </c>
      <c r="AV60" s="70" t="e">
        <f>SUM(AV61:AV74)-#REF!-#REF!-AV63</f>
        <v>#REF!</v>
      </c>
      <c r="AW60" s="70" t="e">
        <f>SUM(AW61:AW74)-#REF!-#REF!-AW63</f>
        <v>#REF!</v>
      </c>
      <c r="AX60" s="70" t="e">
        <f>SUM(AX61:AX74)-#REF!-#REF!-AX63</f>
        <v>#REF!</v>
      </c>
      <c r="AY60" s="70" t="e">
        <f>SUM(AY61:AY74)-#REF!-#REF!-AY63</f>
        <v>#REF!</v>
      </c>
      <c r="AZ60" s="70" t="e">
        <f>SUM(AZ61:AZ74)-#REF!-#REF!-AZ63</f>
        <v>#REF!</v>
      </c>
      <c r="BA60" s="70" t="e">
        <f>SUM(BA61:BA74)-#REF!-#REF!-BA63</f>
        <v>#REF!</v>
      </c>
      <c r="BB60" s="70" t="e">
        <f>SUM(BB61:BB74)-#REF!-#REF!-BB63</f>
        <v>#REF!</v>
      </c>
      <c r="BC60" s="70" t="e">
        <f>SUM(BC61:BC74)-#REF!-#REF!-BC63</f>
        <v>#REF!</v>
      </c>
      <c r="BD60" s="70" t="e">
        <f>SUM(BD61:BD74)-#REF!-#REF!-BD63</f>
        <v>#REF!</v>
      </c>
      <c r="BE60" s="70" t="e">
        <f>SUM(BE61:BE74)-#REF!-#REF!-BE63</f>
        <v>#REF!</v>
      </c>
      <c r="BF60" s="70" t="e">
        <f>SUM(BF61:BF74)-#REF!-#REF!-BF63</f>
        <v>#REF!</v>
      </c>
      <c r="BG60" s="70" t="e">
        <f>SUM(BG61:BG74)-#REF!-#REF!-BG63</f>
        <v>#REF!</v>
      </c>
      <c r="BH60" s="70" t="e">
        <f>SUM(BH61:BH74)-#REF!-#REF!-BH63</f>
        <v>#REF!</v>
      </c>
      <c r="BI60" s="70" t="e">
        <f>SUM(BI61:BI74)-#REF!-#REF!-BI63</f>
        <v>#REF!</v>
      </c>
      <c r="BJ60" s="70" t="e">
        <f>SUM(BJ61:BJ74)-#REF!-#REF!-BJ63</f>
        <v>#REF!</v>
      </c>
      <c r="BK60" s="70" t="e">
        <f>SUM(BK61:BK74)-#REF!-#REF!-BK63</f>
        <v>#REF!</v>
      </c>
      <c r="BL60" s="70" t="e">
        <f>SUM(BL61:BL74)-#REF!-#REF!-BL63</f>
        <v>#REF!</v>
      </c>
      <c r="BM60" s="70" t="e">
        <f>SUM(BM61:BM74)-#REF!-#REF!-BM63</f>
        <v>#REF!</v>
      </c>
      <c r="BN60" s="70" t="e">
        <f>SUM(BN61:BN74)-#REF!-#REF!-BN63</f>
        <v>#REF!</v>
      </c>
      <c r="BO60" s="70" t="e">
        <f>SUM(BO61:BO74)-#REF!-#REF!-BO63</f>
        <v>#REF!</v>
      </c>
      <c r="BP60" s="70" t="e">
        <f>SUM(BP61:BP74)-#REF!-#REF!-BP63</f>
        <v>#REF!</v>
      </c>
      <c r="BQ60" s="69" t="e">
        <f>SUM(BQ61:BQ74)-#REF!-#REF!-BQ63</f>
        <v>#REF!</v>
      </c>
      <c r="BR60" s="68" t="e">
        <f>SUM(BR61:BR74)-#REF!-#REF!-BR63</f>
        <v>#REF!</v>
      </c>
      <c r="BS60" s="67"/>
      <c r="BT60" s="70" t="e">
        <f>SUM(BT61:BT74)-#REF!-#REF!-BT63</f>
        <v>#REF!</v>
      </c>
      <c r="BU60" s="70" t="e">
        <f>SUM(BU61:BU74)-#REF!-#REF!-BU63</f>
        <v>#REF!</v>
      </c>
      <c r="BV60" s="70" t="e">
        <f>SUM(BV61:BV74)-#REF!-#REF!-BV63</f>
        <v>#REF!</v>
      </c>
      <c r="BW60" s="70" t="e">
        <f>SUM(BW61:BW74)-#REF!-#REF!-BW63</f>
        <v>#REF!</v>
      </c>
      <c r="BX60" s="70" t="e">
        <f>SUM(BX61:BX74)-#REF!-#REF!-BX63</f>
        <v>#REF!</v>
      </c>
      <c r="BY60" s="70" t="e">
        <f>SUM(BY61:BY74)-#REF!-#REF!-BY63</f>
        <v>#REF!</v>
      </c>
      <c r="BZ60" s="70" t="e">
        <f>SUM(BZ61:BZ74)-#REF!-#REF!-BZ63</f>
        <v>#REF!</v>
      </c>
      <c r="CA60" s="70" t="e">
        <f>SUM(CA61:CA74)-#REF!-#REF!-CA63</f>
        <v>#REF!</v>
      </c>
      <c r="CB60" s="70" t="e">
        <f>SUM(CB61:CB74)-#REF!-#REF!-CB63</f>
        <v>#REF!</v>
      </c>
      <c r="CC60" s="70" t="e">
        <f>SUM(CC61:CC74)-#REF!-#REF!-CC63</f>
        <v>#REF!</v>
      </c>
      <c r="CD60" s="70" t="e">
        <f>SUM(CD61:CD74)-#REF!-#REF!-CD63</f>
        <v>#REF!</v>
      </c>
      <c r="CE60" s="70" t="e">
        <f>SUM(CE61:CE74)-#REF!-#REF!-CE63</f>
        <v>#REF!</v>
      </c>
      <c r="CF60" s="70" t="e">
        <f>SUM(CF61:CF74)-#REF!-#REF!-CF63</f>
        <v>#REF!</v>
      </c>
      <c r="CG60" s="70" t="e">
        <f>SUM(CG61:CG74)-#REF!-#REF!-CG63</f>
        <v>#REF!</v>
      </c>
      <c r="CH60" s="70" t="e">
        <f>SUM(CH61:CH74)-#REF!-#REF!-CH63</f>
        <v>#REF!</v>
      </c>
      <c r="CI60" s="70" t="e">
        <f>SUM(CI61:CI74)-#REF!-#REF!-CI63</f>
        <v>#REF!</v>
      </c>
      <c r="CJ60" s="70" t="e">
        <f>SUM(CJ61:CJ74)-#REF!-#REF!-CJ63</f>
        <v>#REF!</v>
      </c>
      <c r="CK60" s="70" t="e">
        <f>SUM(CK61:CK74)-#REF!-#REF!-CK63</f>
        <v>#REF!</v>
      </c>
      <c r="CL60" s="70" t="e">
        <f>SUM(CL61:CL74)-#REF!-#REF!-CL63</f>
        <v>#REF!</v>
      </c>
      <c r="CM60" s="70" t="e">
        <f>SUM(CM61:CM74)-#REF!-#REF!-CM63</f>
        <v>#REF!</v>
      </c>
      <c r="CN60" s="70" t="e">
        <f>SUM(CN61:CN74)-#REF!-#REF!-CN63</f>
        <v>#REF!</v>
      </c>
      <c r="CO60" s="69" t="e">
        <f>SUM(CO61:CO74)-#REF!-#REF!-CO63</f>
        <v>#REF!</v>
      </c>
      <c r="CP60" s="68" t="e">
        <f>SUM(CP61:CP74)-#REF!-#REF!-CP63</f>
        <v>#REF!</v>
      </c>
      <c r="CQ60" s="67"/>
      <c r="CR60" s="70" t="e">
        <f>SUM(CR61:CR74)-#REF!-#REF!-CR63</f>
        <v>#REF!</v>
      </c>
      <c r="CS60" s="70" t="e">
        <f>SUM(CS61:CS74)-#REF!-#REF!-CS63</f>
        <v>#REF!</v>
      </c>
      <c r="CT60" s="70" t="e">
        <f>SUM(CT61:CT74)-#REF!-#REF!-CT63</f>
        <v>#REF!</v>
      </c>
      <c r="CU60" s="70" t="e">
        <f>SUM(CU61:CU74)-#REF!-#REF!-CU63</f>
        <v>#REF!</v>
      </c>
      <c r="CV60" s="70" t="e">
        <f>SUM(CV61:CV74)-#REF!-#REF!-CV63</f>
        <v>#REF!</v>
      </c>
      <c r="CW60" s="70" t="e">
        <f>SUM(CW61:CW74)-#REF!-#REF!-CW63</f>
        <v>#REF!</v>
      </c>
      <c r="CX60" s="70" t="e">
        <f>SUM(CX61:CX74)-#REF!-#REF!-CX63</f>
        <v>#REF!</v>
      </c>
      <c r="CY60" s="70" t="e">
        <f>SUM(CY61:CY74)-#REF!-#REF!-CY63</f>
        <v>#REF!</v>
      </c>
      <c r="CZ60" s="70" t="e">
        <f>SUM(CZ61:CZ74)-#REF!-#REF!-CZ63</f>
        <v>#REF!</v>
      </c>
      <c r="DA60" s="70" t="e">
        <f>SUM(DA61:DA74)-#REF!-#REF!-DA63</f>
        <v>#REF!</v>
      </c>
      <c r="DB60" s="70" t="e">
        <f>SUM(DB61:DB74)-#REF!-#REF!-DB63</f>
        <v>#REF!</v>
      </c>
      <c r="DC60" s="70" t="e">
        <f>SUM(DC61:DC74)-#REF!-#REF!-DC63</f>
        <v>#REF!</v>
      </c>
      <c r="DD60" s="70" t="e">
        <f>SUM(DD61:DD74)-#REF!-#REF!-DD63</f>
        <v>#REF!</v>
      </c>
      <c r="DE60" s="70" t="e">
        <f>SUM(DE61:DE74)-#REF!-#REF!-DE63</f>
        <v>#REF!</v>
      </c>
      <c r="DF60" s="70" t="e">
        <f>SUM(DF61:DF74)-#REF!-#REF!-DF63</f>
        <v>#REF!</v>
      </c>
      <c r="DG60" s="70" t="e">
        <f>SUM(DG61:DG74)-#REF!-#REF!-DG63</f>
        <v>#REF!</v>
      </c>
      <c r="DH60" s="70" t="e">
        <f>SUM(DH61:DH74)-#REF!-#REF!-DH63</f>
        <v>#REF!</v>
      </c>
      <c r="DI60" s="70" t="e">
        <f>SUM(DI61:DI74)-#REF!-#REF!-DI63</f>
        <v>#REF!</v>
      </c>
      <c r="DJ60" s="70" t="e">
        <f>SUM(DJ61:DJ74)-#REF!-#REF!-DJ63</f>
        <v>#REF!</v>
      </c>
      <c r="DK60" s="70" t="e">
        <f>SUM(DK61:DK74)-#REF!-#REF!-DK63</f>
        <v>#REF!</v>
      </c>
      <c r="DL60" s="69" t="e">
        <f>SUM(DL61:DL74)-#REF!-#REF!-DL63</f>
        <v>#REF!</v>
      </c>
      <c r="DM60" s="68" t="e">
        <f>SUM(DM61:DM74)-#REF!-#REF!-DM63</f>
        <v>#REF!</v>
      </c>
      <c r="DN60" s="67"/>
      <c r="DO60" s="70" t="e">
        <f>SUM(DO61:DO74)-#REF!-#REF!-DO63</f>
        <v>#REF!</v>
      </c>
      <c r="DP60" s="70" t="e">
        <f>SUM(DP61:DP74)-#REF!-#REF!-DP63</f>
        <v>#REF!</v>
      </c>
      <c r="DQ60" s="70" t="e">
        <f>SUM(DQ61:DQ74)-#REF!-#REF!-DQ63</f>
        <v>#REF!</v>
      </c>
      <c r="DR60" s="70" t="e">
        <f>SUM(DR61:DR74)-#REF!-#REF!-DR63</f>
        <v>#REF!</v>
      </c>
      <c r="DS60" s="70" t="e">
        <f>SUM(DS61:DS74)-#REF!-#REF!-DS63</f>
        <v>#REF!</v>
      </c>
      <c r="DT60" s="70" t="e">
        <f>SUM(DT61:DT74)-#REF!-#REF!-DT63</f>
        <v>#REF!</v>
      </c>
      <c r="DU60" s="70" t="e">
        <f>SUM(DU61:DU74)-#REF!-#REF!-DU63</f>
        <v>#REF!</v>
      </c>
      <c r="DV60" s="70" t="e">
        <f>SUM(DV61:DV74)-#REF!-#REF!-DV63</f>
        <v>#REF!</v>
      </c>
      <c r="DW60" s="70" t="e">
        <f>SUM(DW61:DW74)-#REF!-#REF!-DW63</f>
        <v>#REF!</v>
      </c>
      <c r="DX60" s="70" t="e">
        <f>SUM(DX61:DX74)-#REF!-#REF!-DX63</f>
        <v>#REF!</v>
      </c>
      <c r="DY60" s="70" t="e">
        <f>SUM(DY61:DY74)-#REF!-#REF!-DY63</f>
        <v>#REF!</v>
      </c>
      <c r="DZ60" s="70" t="e">
        <f>SUM(DZ61:DZ74)-#REF!-#REF!-DZ63</f>
        <v>#REF!</v>
      </c>
      <c r="EA60" s="70" t="e">
        <f>SUM(EA61:EA74)-#REF!-#REF!-EA63</f>
        <v>#REF!</v>
      </c>
      <c r="EB60" s="70" t="e">
        <f>SUM(EB61:EB74)-#REF!-#REF!-EB63</f>
        <v>#REF!</v>
      </c>
      <c r="EC60" s="70" t="e">
        <f>SUM(EC61:EC74)-#REF!-#REF!-EC63</f>
        <v>#REF!</v>
      </c>
      <c r="ED60" s="70" t="e">
        <f>SUM(ED61:ED74)-#REF!-#REF!-ED63</f>
        <v>#REF!</v>
      </c>
      <c r="EE60" s="70" t="e">
        <f>SUM(EE61:EE74)-#REF!-#REF!-EE63</f>
        <v>#REF!</v>
      </c>
      <c r="EF60" s="70" t="e">
        <f>SUM(EF61:EF74)-#REF!-#REF!-EF63</f>
        <v>#REF!</v>
      </c>
      <c r="EG60" s="70" t="e">
        <f>SUM(EG61:EG74)-#REF!-#REF!-EG63</f>
        <v>#REF!</v>
      </c>
      <c r="EH60" s="70" t="e">
        <f>SUM(EH61:EH74)-#REF!-#REF!-EH63</f>
        <v>#REF!</v>
      </c>
      <c r="EI60" s="70" t="e">
        <f>SUM(EI61:EI74)-#REF!-#REF!-EI63</f>
        <v>#REF!</v>
      </c>
      <c r="EJ60" s="69" t="e">
        <f>SUM(EJ61:EJ74)-#REF!-#REF!-EJ63</f>
        <v>#REF!</v>
      </c>
      <c r="EK60" s="68" t="e">
        <f>SUM(EK61:EK74)-#REF!-#REF!-EK63</f>
        <v>#REF!</v>
      </c>
      <c r="EL60" s="67"/>
      <c r="EN60" s="66"/>
    </row>
    <row r="61" spans="1:144" s="13" customFormat="1" ht="25" customHeight="1">
      <c r="A61" s="24"/>
      <c r="B61" s="11"/>
      <c r="C61" s="49" t="s">
        <v>8</v>
      </c>
      <c r="D61" s="47"/>
      <c r="E61" s="46">
        <v>17735729.800000001</v>
      </c>
      <c r="F61" s="46">
        <v>8731890.8499999996</v>
      </c>
      <c r="G61" s="46">
        <v>8907318.2200000007</v>
      </c>
      <c r="H61" s="46">
        <v>13795594.09</v>
      </c>
      <c r="I61" s="46">
        <f t="shared" ref="I61:O67" si="62">(-H77+I45)*I$89</f>
        <v>17106724.289999999</v>
      </c>
      <c r="J61" s="46">
        <f t="shared" si="62"/>
        <v>12450399.279999999</v>
      </c>
      <c r="K61" s="46">
        <f t="shared" si="62"/>
        <v>10338676.08</v>
      </c>
      <c r="L61" s="46">
        <f t="shared" si="62"/>
        <v>10103807.699999999</v>
      </c>
      <c r="M61" s="46">
        <f t="shared" si="62"/>
        <v>10741983.550000001</v>
      </c>
      <c r="N61" s="46">
        <f t="shared" si="62"/>
        <v>11346588.189999999</v>
      </c>
      <c r="O61" s="46">
        <f t="shared" si="62"/>
        <v>21121512.989999998</v>
      </c>
      <c r="P61" s="46">
        <f>4891499.78+364.68+160.84+1113</f>
        <v>4893138.3</v>
      </c>
      <c r="Q61" s="46">
        <f>4616051.4+4083.19+37809.53+500.41</f>
        <v>4658444.5300000012</v>
      </c>
      <c r="R61" s="46">
        <f>8474729.63+830.57+377.17</f>
        <v>8475937.370000001</v>
      </c>
      <c r="S61" s="46">
        <f>7741318.41+6931.38+60993.39+1060.62</f>
        <v>7810303.7999999998</v>
      </c>
      <c r="T61" s="46">
        <f>5399160.25+4843.78+44004.81+682.28</f>
        <v>5448691.1200000001</v>
      </c>
      <c r="U61" s="46">
        <f t="shared" ref="U61:X67" si="63">(-T77+U45)*U$89</f>
        <v>45087591.840000004</v>
      </c>
      <c r="V61" s="46">
        <f t="shared" si="63"/>
        <v>11355387.800000001</v>
      </c>
      <c r="W61" s="46">
        <f t="shared" si="63"/>
        <v>11035769.460000001</v>
      </c>
      <c r="X61" s="46">
        <f t="shared" si="63"/>
        <v>12755124.039999999</v>
      </c>
      <c r="Z61" s="45">
        <f t="shared" ref="Z61:Z67" si="64">(-X77+Z45)*Z$89</f>
        <v>22880132.870000001</v>
      </c>
      <c r="AA61" s="47">
        <f>SUM(E61:$Z$61)-Y61</f>
        <v>276780746.17000002</v>
      </c>
      <c r="AB61" s="43"/>
      <c r="AC61" s="46">
        <v>11265855.67</v>
      </c>
      <c r="AD61" s="46">
        <v>11008022.85</v>
      </c>
      <c r="AE61" s="46">
        <v>11777778.57</v>
      </c>
      <c r="AF61" s="46">
        <v>12119603.6</v>
      </c>
      <c r="AG61" s="46">
        <v>21160682.93</v>
      </c>
      <c r="AH61" s="46">
        <v>8892905.4699999988</v>
      </c>
      <c r="AI61" s="46">
        <v>10613247.32</v>
      </c>
      <c r="AJ61" s="46">
        <v>16998557.310000002</v>
      </c>
      <c r="AK61" s="46">
        <v>11666561.619999999</v>
      </c>
      <c r="AL61" s="46">
        <v>233347.42000000135</v>
      </c>
      <c r="AM61" s="46">
        <f t="shared" ref="AM61:AT67" si="65">(-AL77+AM45)*AM$89</f>
        <v>35205025.220000006</v>
      </c>
      <c r="AN61" s="46">
        <f t="shared" si="65"/>
        <v>11821283.140000001</v>
      </c>
      <c r="AO61" s="46">
        <f t="shared" si="65"/>
        <v>13653373.6</v>
      </c>
      <c r="AP61" s="46">
        <f t="shared" si="65"/>
        <v>13106778.619999999</v>
      </c>
      <c r="AQ61" s="46">
        <f t="shared" si="65"/>
        <v>31834935.079999998</v>
      </c>
      <c r="AR61" s="46">
        <f t="shared" si="65"/>
        <v>9317561.8900000006</v>
      </c>
      <c r="AS61" s="46">
        <f t="shared" si="65"/>
        <v>12705426.74</v>
      </c>
      <c r="AT61" s="46">
        <f t="shared" si="65"/>
        <v>23576873.649999999</v>
      </c>
      <c r="AU61" s="47">
        <f>SUM(AC61:$AT$61)</f>
        <v>266957820.70000002</v>
      </c>
      <c r="AV61" s="46" t="e">
        <f>(-#REF!+AV45)*AV$89</f>
        <v>#REF!</v>
      </c>
      <c r="AW61" s="46" t="e">
        <f t="shared" ref="AW61:BQ61" si="66">(-AV77+AW45)*AW$89</f>
        <v>#REF!</v>
      </c>
      <c r="AX61" s="46" t="e">
        <f t="shared" si="66"/>
        <v>#REF!</v>
      </c>
      <c r="AY61" s="46" t="e">
        <f t="shared" si="66"/>
        <v>#REF!</v>
      </c>
      <c r="AZ61" s="46" t="e">
        <f t="shared" si="66"/>
        <v>#REF!</v>
      </c>
      <c r="BA61" s="46" t="e">
        <f t="shared" si="66"/>
        <v>#REF!</v>
      </c>
      <c r="BB61" s="46" t="e">
        <f t="shared" si="66"/>
        <v>#REF!</v>
      </c>
      <c r="BC61" s="46" t="e">
        <f t="shared" si="66"/>
        <v>#REF!</v>
      </c>
      <c r="BD61" s="46" t="e">
        <f t="shared" si="66"/>
        <v>#REF!</v>
      </c>
      <c r="BE61" s="46" t="e">
        <f t="shared" si="66"/>
        <v>#REF!</v>
      </c>
      <c r="BF61" s="46" t="e">
        <f t="shared" si="66"/>
        <v>#REF!</v>
      </c>
      <c r="BG61" s="46" t="e">
        <f t="shared" si="66"/>
        <v>#REF!</v>
      </c>
      <c r="BH61" s="46" t="e">
        <f t="shared" si="66"/>
        <v>#REF!</v>
      </c>
      <c r="BI61" s="46" t="e">
        <f t="shared" si="66"/>
        <v>#REF!</v>
      </c>
      <c r="BJ61" s="46" t="e">
        <f t="shared" si="66"/>
        <v>#REF!</v>
      </c>
      <c r="BK61" s="46" t="e">
        <f t="shared" si="66"/>
        <v>#REF!</v>
      </c>
      <c r="BL61" s="46" t="e">
        <f t="shared" si="66"/>
        <v>#REF!</v>
      </c>
      <c r="BM61" s="46" t="e">
        <f t="shared" si="66"/>
        <v>#REF!</v>
      </c>
      <c r="BN61" s="46" t="e">
        <f t="shared" si="66"/>
        <v>#REF!</v>
      </c>
      <c r="BO61" s="46" t="e">
        <f t="shared" si="66"/>
        <v>#REF!</v>
      </c>
      <c r="BP61" s="46" t="e">
        <f t="shared" si="66"/>
        <v>#REF!</v>
      </c>
      <c r="BQ61" s="45" t="e">
        <f t="shared" si="66"/>
        <v>#REF!</v>
      </c>
      <c r="BR61" s="44" t="e">
        <f>SUM(#REF!)</f>
        <v>#REF!</v>
      </c>
      <c r="BS61" s="43"/>
      <c r="BT61" s="46" t="e">
        <f t="shared" ref="BT61:BT67" si="67">(-BQ77+BT45)*BT$89</f>
        <v>#REF!</v>
      </c>
      <c r="BU61" s="46" t="e">
        <f t="shared" ref="BU61:CO61" si="68">(-BT77+BU45)*BU$89</f>
        <v>#REF!</v>
      </c>
      <c r="BV61" s="46" t="e">
        <f t="shared" si="68"/>
        <v>#REF!</v>
      </c>
      <c r="BW61" s="46" t="e">
        <f t="shared" si="68"/>
        <v>#REF!</v>
      </c>
      <c r="BX61" s="46" t="e">
        <f t="shared" si="68"/>
        <v>#REF!</v>
      </c>
      <c r="BY61" s="46" t="e">
        <f t="shared" si="68"/>
        <v>#REF!</v>
      </c>
      <c r="BZ61" s="46" t="e">
        <f t="shared" si="68"/>
        <v>#REF!</v>
      </c>
      <c r="CA61" s="46" t="e">
        <f t="shared" si="68"/>
        <v>#REF!</v>
      </c>
      <c r="CB61" s="46" t="e">
        <f t="shared" si="68"/>
        <v>#REF!</v>
      </c>
      <c r="CC61" s="46" t="e">
        <f t="shared" si="68"/>
        <v>#REF!</v>
      </c>
      <c r="CD61" s="46" t="e">
        <f t="shared" si="68"/>
        <v>#REF!</v>
      </c>
      <c r="CE61" s="46" t="e">
        <f t="shared" si="68"/>
        <v>#REF!</v>
      </c>
      <c r="CF61" s="46" t="e">
        <f t="shared" si="68"/>
        <v>#REF!</v>
      </c>
      <c r="CG61" s="46" t="e">
        <f t="shared" si="68"/>
        <v>#REF!</v>
      </c>
      <c r="CH61" s="46" t="e">
        <f t="shared" si="68"/>
        <v>#REF!</v>
      </c>
      <c r="CI61" s="46" t="e">
        <f t="shared" si="68"/>
        <v>#REF!</v>
      </c>
      <c r="CJ61" s="46" t="e">
        <f t="shared" si="68"/>
        <v>#REF!</v>
      </c>
      <c r="CK61" s="46" t="e">
        <f t="shared" si="68"/>
        <v>#REF!</v>
      </c>
      <c r="CL61" s="46" t="e">
        <f t="shared" si="68"/>
        <v>#REF!</v>
      </c>
      <c r="CM61" s="46" t="e">
        <f t="shared" si="68"/>
        <v>#REF!</v>
      </c>
      <c r="CN61" s="46" t="e">
        <f t="shared" si="68"/>
        <v>#REF!</v>
      </c>
      <c r="CO61" s="45" t="e">
        <f t="shared" si="68"/>
        <v>#REF!</v>
      </c>
      <c r="CP61" s="44">
        <f>SUM(K61:$Z$61)</f>
        <v>198053089.64000005</v>
      </c>
      <c r="CQ61" s="43"/>
      <c r="CR61" s="46" t="e">
        <f t="shared" ref="CR61:CR67" si="69">(-CO77+CR45)*CR$89</f>
        <v>#REF!</v>
      </c>
      <c r="CS61" s="46" t="e">
        <f t="shared" ref="CS61:DL61" si="70">(-CR77+CS45)*CS$89</f>
        <v>#REF!</v>
      </c>
      <c r="CT61" s="46" t="e">
        <f t="shared" si="70"/>
        <v>#REF!</v>
      </c>
      <c r="CU61" s="46" t="e">
        <f t="shared" si="70"/>
        <v>#REF!</v>
      </c>
      <c r="CV61" s="46" t="e">
        <f t="shared" si="70"/>
        <v>#REF!</v>
      </c>
      <c r="CW61" s="46" t="e">
        <f t="shared" si="70"/>
        <v>#REF!</v>
      </c>
      <c r="CX61" s="46" t="e">
        <f t="shared" si="70"/>
        <v>#REF!</v>
      </c>
      <c r="CY61" s="46" t="e">
        <f t="shared" si="70"/>
        <v>#REF!</v>
      </c>
      <c r="CZ61" s="46" t="e">
        <f t="shared" si="70"/>
        <v>#REF!</v>
      </c>
      <c r="DA61" s="46" t="e">
        <f t="shared" si="70"/>
        <v>#REF!</v>
      </c>
      <c r="DB61" s="46" t="e">
        <f t="shared" si="70"/>
        <v>#REF!</v>
      </c>
      <c r="DC61" s="46" t="e">
        <f t="shared" si="70"/>
        <v>#REF!</v>
      </c>
      <c r="DD61" s="46" t="e">
        <f t="shared" si="70"/>
        <v>#REF!</v>
      </c>
      <c r="DE61" s="46" t="e">
        <f t="shared" si="70"/>
        <v>#REF!</v>
      </c>
      <c r="DF61" s="46" t="e">
        <f t="shared" si="70"/>
        <v>#REF!</v>
      </c>
      <c r="DG61" s="46" t="e">
        <f t="shared" si="70"/>
        <v>#REF!</v>
      </c>
      <c r="DH61" s="46" t="e">
        <f t="shared" si="70"/>
        <v>#REF!</v>
      </c>
      <c r="DI61" s="46" t="e">
        <f t="shared" si="70"/>
        <v>#REF!</v>
      </c>
      <c r="DJ61" s="46" t="e">
        <f t="shared" si="70"/>
        <v>#REF!</v>
      </c>
      <c r="DK61" s="46" t="e">
        <f t="shared" si="70"/>
        <v>#REF!</v>
      </c>
      <c r="DL61" s="45" t="e">
        <f t="shared" si="70"/>
        <v>#REF!</v>
      </c>
      <c r="DM61" s="44">
        <f>SUM(M61:$Z$61)</f>
        <v>177610605.86000001</v>
      </c>
      <c r="DN61" s="43"/>
      <c r="DO61" s="46" t="e">
        <f t="shared" ref="DO61:DO67" si="71">(-DL77+DO45)*DO$89</f>
        <v>#REF!</v>
      </c>
      <c r="DP61" s="46" t="e">
        <f t="shared" ref="DP61:EJ61" si="72">(-DO77+DP45)*DP$89</f>
        <v>#REF!</v>
      </c>
      <c r="DQ61" s="46" t="e">
        <f t="shared" si="72"/>
        <v>#REF!</v>
      </c>
      <c r="DR61" s="46" t="e">
        <f t="shared" si="72"/>
        <v>#REF!</v>
      </c>
      <c r="DS61" s="46" t="e">
        <f t="shared" si="72"/>
        <v>#REF!</v>
      </c>
      <c r="DT61" s="46" t="e">
        <f t="shared" si="72"/>
        <v>#REF!</v>
      </c>
      <c r="DU61" s="46" t="e">
        <f t="shared" si="72"/>
        <v>#REF!</v>
      </c>
      <c r="DV61" s="46" t="e">
        <f t="shared" si="72"/>
        <v>#REF!</v>
      </c>
      <c r="DW61" s="46" t="e">
        <f t="shared" si="72"/>
        <v>#REF!</v>
      </c>
      <c r="DX61" s="46" t="e">
        <f t="shared" si="72"/>
        <v>#REF!</v>
      </c>
      <c r="DY61" s="46" t="e">
        <f t="shared" si="72"/>
        <v>#REF!</v>
      </c>
      <c r="DZ61" s="46" t="e">
        <f t="shared" si="72"/>
        <v>#REF!</v>
      </c>
      <c r="EA61" s="46" t="e">
        <f t="shared" si="72"/>
        <v>#REF!</v>
      </c>
      <c r="EB61" s="46" t="e">
        <f t="shared" si="72"/>
        <v>#REF!</v>
      </c>
      <c r="EC61" s="46" t="e">
        <f t="shared" si="72"/>
        <v>#REF!</v>
      </c>
      <c r="ED61" s="46" t="e">
        <f t="shared" si="72"/>
        <v>#REF!</v>
      </c>
      <c r="EE61" s="46" t="e">
        <f t="shared" si="72"/>
        <v>#REF!</v>
      </c>
      <c r="EF61" s="46" t="e">
        <f t="shared" si="72"/>
        <v>#REF!</v>
      </c>
      <c r="EG61" s="46" t="e">
        <f t="shared" si="72"/>
        <v>#REF!</v>
      </c>
      <c r="EH61" s="46" t="e">
        <f t="shared" si="72"/>
        <v>#REF!</v>
      </c>
      <c r="EI61" s="46" t="e">
        <f t="shared" si="72"/>
        <v>#REF!</v>
      </c>
      <c r="EJ61" s="45" t="e">
        <f t="shared" si="72"/>
        <v>#REF!</v>
      </c>
      <c r="EK61" s="44">
        <f>SUM(O61:$Z$61)</f>
        <v>155522034.11999997</v>
      </c>
      <c r="EL61" s="43"/>
      <c r="EN61" s="21"/>
    </row>
    <row r="62" spans="1:144" s="13" customFormat="1" ht="25" customHeight="1">
      <c r="A62" s="24"/>
      <c r="B62" s="11"/>
      <c r="C62" s="49" t="s">
        <v>7</v>
      </c>
      <c r="D62" s="64"/>
      <c r="E62" s="46">
        <f>2782367.07+6110381.3-12310.7</f>
        <v>8880437.6699999999</v>
      </c>
      <c r="F62" s="46">
        <f>958061.76+5345397.66-10686.9</f>
        <v>6292772.5199999996</v>
      </c>
      <c r="G62" s="46">
        <f>2206155.85+1831724.68-3815.71</f>
        <v>4034064.8200000003</v>
      </c>
      <c r="H62" s="46">
        <f>5921532.86+1219307.4-2648.08</f>
        <v>7138192.1799999997</v>
      </c>
      <c r="I62" s="46">
        <f t="shared" si="62"/>
        <v>9992061.0100000016</v>
      </c>
      <c r="J62" s="46">
        <f t="shared" si="62"/>
        <v>8149785.21</v>
      </c>
      <c r="K62" s="46">
        <f t="shared" si="62"/>
        <v>4887884.82</v>
      </c>
      <c r="L62" s="46">
        <f t="shared" si="62"/>
        <v>5007322.3000000007</v>
      </c>
      <c r="M62" s="46">
        <f t="shared" si="62"/>
        <v>5118608.63</v>
      </c>
      <c r="N62" s="46">
        <f t="shared" si="62"/>
        <v>5209701.71</v>
      </c>
      <c r="O62" s="46">
        <f t="shared" si="62"/>
        <v>11043964.42</v>
      </c>
      <c r="P62" s="46">
        <f>15262.83+53533.58+11136.18+2236726.86</f>
        <v>2316659.4499999997</v>
      </c>
      <c r="Q62" s="46">
        <v>2129929.31</v>
      </c>
      <c r="R62" s="46">
        <f>2942027.31+1120480.3-1575.53</f>
        <v>4060932.0800000005</v>
      </c>
      <c r="S62" s="46">
        <f>1186056.05+2507633.85+39179.79-1669.62</f>
        <v>3731200.0700000003</v>
      </c>
      <c r="T62" s="46">
        <f>817419.21+1713127.59-1151.79</f>
        <v>2529395.0099999998</v>
      </c>
      <c r="U62" s="46">
        <f t="shared" si="63"/>
        <v>22328261.5</v>
      </c>
      <c r="V62" s="46">
        <f t="shared" si="63"/>
        <v>5422897.2300000004</v>
      </c>
      <c r="W62" s="46">
        <f t="shared" si="63"/>
        <v>5493805.1299999999</v>
      </c>
      <c r="X62" s="46">
        <f t="shared" si="63"/>
        <v>8111782.2600000007</v>
      </c>
      <c r="Z62" s="45">
        <f t="shared" si="64"/>
        <v>11306661.719999999</v>
      </c>
      <c r="AA62" s="64">
        <f>SUM(E62:$Z$62)-Y62</f>
        <v>143186319.05000001</v>
      </c>
      <c r="AB62" s="62"/>
      <c r="AC62" s="46">
        <v>5165915.99</v>
      </c>
      <c r="AD62" s="46">
        <v>5400206.1500000004</v>
      </c>
      <c r="AE62" s="46">
        <v>5469515.6100000003</v>
      </c>
      <c r="AF62" s="46">
        <v>5439624.4400000004</v>
      </c>
      <c r="AG62" s="46">
        <v>11323585.76</v>
      </c>
      <c r="AH62" s="46">
        <v>4019932.6500000004</v>
      </c>
      <c r="AI62" s="46">
        <v>5118195.8899999997</v>
      </c>
      <c r="AJ62" s="46">
        <v>7503506.0499999998</v>
      </c>
      <c r="AK62" s="46">
        <v>5274449.3299999991</v>
      </c>
      <c r="AL62" s="46">
        <v>320408.28000000049</v>
      </c>
      <c r="AM62" s="46">
        <f t="shared" si="65"/>
        <v>17245195.880000003</v>
      </c>
      <c r="AN62" s="46">
        <f t="shared" si="65"/>
        <v>5393884.1500000004</v>
      </c>
      <c r="AO62" s="46">
        <f t="shared" si="65"/>
        <v>5997285.79</v>
      </c>
      <c r="AP62" s="46">
        <f t="shared" si="65"/>
        <v>5904155.5699999994</v>
      </c>
      <c r="AQ62" s="46">
        <f t="shared" si="65"/>
        <v>15557464.07</v>
      </c>
      <c r="AR62" s="46">
        <f t="shared" si="65"/>
        <v>4488230.75</v>
      </c>
      <c r="AS62" s="46">
        <f t="shared" si="65"/>
        <v>5596907.0800000001</v>
      </c>
      <c r="AT62" s="46">
        <f t="shared" si="65"/>
        <v>12240566.17</v>
      </c>
      <c r="AU62" s="64">
        <f>SUM(AC62:$AT$62)</f>
        <v>127459029.61000001</v>
      </c>
      <c r="AV62" s="46" t="e">
        <f>(-#REF!+AV46)*AV$89</f>
        <v>#REF!</v>
      </c>
      <c r="AW62" s="46" t="e">
        <f t="shared" ref="AW62:BQ62" si="73">(-AV78+AW46)*AW$89</f>
        <v>#REF!</v>
      </c>
      <c r="AX62" s="46" t="e">
        <f t="shared" si="73"/>
        <v>#REF!</v>
      </c>
      <c r="AY62" s="46" t="e">
        <f t="shared" si="73"/>
        <v>#REF!</v>
      </c>
      <c r="AZ62" s="46" t="e">
        <f t="shared" si="73"/>
        <v>#REF!</v>
      </c>
      <c r="BA62" s="46" t="e">
        <f t="shared" si="73"/>
        <v>#REF!</v>
      </c>
      <c r="BB62" s="46" t="e">
        <f t="shared" si="73"/>
        <v>#REF!</v>
      </c>
      <c r="BC62" s="46" t="e">
        <f t="shared" si="73"/>
        <v>#REF!</v>
      </c>
      <c r="BD62" s="46" t="e">
        <f t="shared" si="73"/>
        <v>#REF!</v>
      </c>
      <c r="BE62" s="46" t="e">
        <f t="shared" si="73"/>
        <v>#REF!</v>
      </c>
      <c r="BF62" s="46" t="e">
        <f t="shared" si="73"/>
        <v>#REF!</v>
      </c>
      <c r="BG62" s="46" t="e">
        <f t="shared" si="73"/>
        <v>#REF!</v>
      </c>
      <c r="BH62" s="46" t="e">
        <f t="shared" si="73"/>
        <v>#REF!</v>
      </c>
      <c r="BI62" s="46" t="e">
        <f t="shared" si="73"/>
        <v>#REF!</v>
      </c>
      <c r="BJ62" s="46" t="e">
        <f t="shared" si="73"/>
        <v>#REF!</v>
      </c>
      <c r="BK62" s="46" t="e">
        <f t="shared" si="73"/>
        <v>#REF!</v>
      </c>
      <c r="BL62" s="46" t="e">
        <f t="shared" si="73"/>
        <v>#REF!</v>
      </c>
      <c r="BM62" s="46" t="e">
        <f t="shared" si="73"/>
        <v>#REF!</v>
      </c>
      <c r="BN62" s="46" t="e">
        <f t="shared" si="73"/>
        <v>#REF!</v>
      </c>
      <c r="BO62" s="46" t="e">
        <f t="shared" si="73"/>
        <v>#REF!</v>
      </c>
      <c r="BP62" s="46" t="e">
        <f t="shared" si="73"/>
        <v>#REF!</v>
      </c>
      <c r="BQ62" s="45" t="e">
        <f t="shared" si="73"/>
        <v>#REF!</v>
      </c>
      <c r="BR62" s="63" t="e">
        <f>SUM(#REF!)</f>
        <v>#REF!</v>
      </c>
      <c r="BS62" s="62"/>
      <c r="BT62" s="46" t="e">
        <f t="shared" si="67"/>
        <v>#REF!</v>
      </c>
      <c r="BU62" s="46" t="e">
        <f t="shared" ref="BU62:CO62" si="74">(-BT78+BU46)*BU$89</f>
        <v>#REF!</v>
      </c>
      <c r="BV62" s="46" t="e">
        <f t="shared" si="74"/>
        <v>#REF!</v>
      </c>
      <c r="BW62" s="46" t="e">
        <f t="shared" si="74"/>
        <v>#REF!</v>
      </c>
      <c r="BX62" s="46" t="e">
        <f t="shared" si="74"/>
        <v>#REF!</v>
      </c>
      <c r="BY62" s="46" t="e">
        <f t="shared" si="74"/>
        <v>#REF!</v>
      </c>
      <c r="BZ62" s="46" t="e">
        <f t="shared" si="74"/>
        <v>#REF!</v>
      </c>
      <c r="CA62" s="46" t="e">
        <f t="shared" si="74"/>
        <v>#REF!</v>
      </c>
      <c r="CB62" s="46" t="e">
        <f t="shared" si="74"/>
        <v>#REF!</v>
      </c>
      <c r="CC62" s="46" t="e">
        <f t="shared" si="74"/>
        <v>#REF!</v>
      </c>
      <c r="CD62" s="46" t="e">
        <f t="shared" si="74"/>
        <v>#REF!</v>
      </c>
      <c r="CE62" s="46" t="e">
        <f t="shared" si="74"/>
        <v>#REF!</v>
      </c>
      <c r="CF62" s="46" t="e">
        <f t="shared" si="74"/>
        <v>#REF!</v>
      </c>
      <c r="CG62" s="46" t="e">
        <f t="shared" si="74"/>
        <v>#REF!</v>
      </c>
      <c r="CH62" s="46" t="e">
        <f t="shared" si="74"/>
        <v>#REF!</v>
      </c>
      <c r="CI62" s="46" t="e">
        <f t="shared" si="74"/>
        <v>#REF!</v>
      </c>
      <c r="CJ62" s="46" t="e">
        <f t="shared" si="74"/>
        <v>#REF!</v>
      </c>
      <c r="CK62" s="46" t="e">
        <f t="shared" si="74"/>
        <v>#REF!</v>
      </c>
      <c r="CL62" s="46" t="e">
        <f t="shared" si="74"/>
        <v>#REF!</v>
      </c>
      <c r="CM62" s="46" t="e">
        <f t="shared" si="74"/>
        <v>#REF!</v>
      </c>
      <c r="CN62" s="46" t="e">
        <f t="shared" si="74"/>
        <v>#REF!</v>
      </c>
      <c r="CO62" s="45" t="e">
        <f t="shared" si="74"/>
        <v>#REF!</v>
      </c>
      <c r="CP62" s="63">
        <f>SUM(K62:$Z$62)</f>
        <v>98699005.640000015</v>
      </c>
      <c r="CQ62" s="62"/>
      <c r="CR62" s="46" t="e">
        <f t="shared" si="69"/>
        <v>#REF!</v>
      </c>
      <c r="CS62" s="46" t="e">
        <f t="shared" ref="CS62:DL62" si="75">(-CR78+CS46)*CS$89</f>
        <v>#REF!</v>
      </c>
      <c r="CT62" s="46" t="e">
        <f t="shared" si="75"/>
        <v>#REF!</v>
      </c>
      <c r="CU62" s="46" t="e">
        <f t="shared" si="75"/>
        <v>#REF!</v>
      </c>
      <c r="CV62" s="46" t="e">
        <f t="shared" si="75"/>
        <v>#REF!</v>
      </c>
      <c r="CW62" s="46" t="e">
        <f t="shared" si="75"/>
        <v>#REF!</v>
      </c>
      <c r="CX62" s="46" t="e">
        <f t="shared" si="75"/>
        <v>#REF!</v>
      </c>
      <c r="CY62" s="46" t="e">
        <f t="shared" si="75"/>
        <v>#REF!</v>
      </c>
      <c r="CZ62" s="46" t="e">
        <f t="shared" si="75"/>
        <v>#REF!</v>
      </c>
      <c r="DA62" s="46" t="e">
        <f t="shared" si="75"/>
        <v>#REF!</v>
      </c>
      <c r="DB62" s="46" t="e">
        <f t="shared" si="75"/>
        <v>#REF!</v>
      </c>
      <c r="DC62" s="46" t="e">
        <f t="shared" si="75"/>
        <v>#REF!</v>
      </c>
      <c r="DD62" s="46" t="e">
        <f t="shared" si="75"/>
        <v>#REF!</v>
      </c>
      <c r="DE62" s="46" t="e">
        <f t="shared" si="75"/>
        <v>#REF!</v>
      </c>
      <c r="DF62" s="46" t="e">
        <f t="shared" si="75"/>
        <v>#REF!</v>
      </c>
      <c r="DG62" s="46" t="e">
        <f t="shared" si="75"/>
        <v>#REF!</v>
      </c>
      <c r="DH62" s="46" t="e">
        <f t="shared" si="75"/>
        <v>#REF!</v>
      </c>
      <c r="DI62" s="46" t="e">
        <f t="shared" si="75"/>
        <v>#REF!</v>
      </c>
      <c r="DJ62" s="46" t="e">
        <f t="shared" si="75"/>
        <v>#REF!</v>
      </c>
      <c r="DK62" s="46" t="e">
        <f t="shared" si="75"/>
        <v>#REF!</v>
      </c>
      <c r="DL62" s="45" t="e">
        <f t="shared" si="75"/>
        <v>#REF!</v>
      </c>
      <c r="DM62" s="63">
        <f>SUM(M62:$Z$62)</f>
        <v>88803798.519999996</v>
      </c>
      <c r="DN62" s="62"/>
      <c r="DO62" s="46" t="e">
        <f t="shared" si="71"/>
        <v>#REF!</v>
      </c>
      <c r="DP62" s="46" t="e">
        <f t="shared" ref="DP62:EJ62" si="76">(-DO78+DP46)*DP$89</f>
        <v>#REF!</v>
      </c>
      <c r="DQ62" s="46" t="e">
        <f t="shared" si="76"/>
        <v>#REF!</v>
      </c>
      <c r="DR62" s="46" t="e">
        <f t="shared" si="76"/>
        <v>#REF!</v>
      </c>
      <c r="DS62" s="46" t="e">
        <f t="shared" si="76"/>
        <v>#REF!</v>
      </c>
      <c r="DT62" s="46" t="e">
        <f t="shared" si="76"/>
        <v>#REF!</v>
      </c>
      <c r="DU62" s="46" t="e">
        <f t="shared" si="76"/>
        <v>#REF!</v>
      </c>
      <c r="DV62" s="46" t="e">
        <f t="shared" si="76"/>
        <v>#REF!</v>
      </c>
      <c r="DW62" s="46" t="e">
        <f t="shared" si="76"/>
        <v>#REF!</v>
      </c>
      <c r="DX62" s="46" t="e">
        <f t="shared" si="76"/>
        <v>#REF!</v>
      </c>
      <c r="DY62" s="46" t="e">
        <f t="shared" si="76"/>
        <v>#REF!</v>
      </c>
      <c r="DZ62" s="46" t="e">
        <f t="shared" si="76"/>
        <v>#REF!</v>
      </c>
      <c r="EA62" s="46" t="e">
        <f t="shared" si="76"/>
        <v>#REF!</v>
      </c>
      <c r="EB62" s="46" t="e">
        <f t="shared" si="76"/>
        <v>#REF!</v>
      </c>
      <c r="EC62" s="46" t="e">
        <f t="shared" si="76"/>
        <v>#REF!</v>
      </c>
      <c r="ED62" s="46" t="e">
        <f t="shared" si="76"/>
        <v>#REF!</v>
      </c>
      <c r="EE62" s="46" t="e">
        <f t="shared" si="76"/>
        <v>#REF!</v>
      </c>
      <c r="EF62" s="46" t="e">
        <f t="shared" si="76"/>
        <v>#REF!</v>
      </c>
      <c r="EG62" s="46" t="e">
        <f t="shared" si="76"/>
        <v>#REF!</v>
      </c>
      <c r="EH62" s="46" t="e">
        <f t="shared" si="76"/>
        <v>#REF!</v>
      </c>
      <c r="EI62" s="46" t="e">
        <f t="shared" si="76"/>
        <v>#REF!</v>
      </c>
      <c r="EJ62" s="45" t="e">
        <f t="shared" si="76"/>
        <v>#REF!</v>
      </c>
      <c r="EK62" s="63">
        <f>SUM(O62:$Z$62)</f>
        <v>78475488.180000007</v>
      </c>
      <c r="EL62" s="62"/>
      <c r="EN62" s="21"/>
    </row>
    <row r="63" spans="1:144" s="13" customFormat="1" ht="25" customHeight="1">
      <c r="A63" s="61" t="s">
        <v>6</v>
      </c>
      <c r="B63" s="80"/>
      <c r="C63" s="59" t="s">
        <v>17</v>
      </c>
      <c r="D63" s="58"/>
      <c r="E63" s="57">
        <f>6110381.3-12310.7</f>
        <v>6098070.5999999996</v>
      </c>
      <c r="F63" s="57">
        <f>5345397.66-10686.9</f>
        <v>5334710.76</v>
      </c>
      <c r="G63" s="57">
        <f>1831724.68+1-3815.71</f>
        <v>1827909.97</v>
      </c>
      <c r="H63" s="57">
        <f>1219307.4-2648.08</f>
        <v>1216659.3199999998</v>
      </c>
      <c r="I63" s="57">
        <f t="shared" si="62"/>
        <v>2289563.75</v>
      </c>
      <c r="J63" s="57">
        <f t="shared" si="62"/>
        <v>1753111.4000000001</v>
      </c>
      <c r="K63" s="57">
        <f t="shared" si="62"/>
        <v>0</v>
      </c>
      <c r="L63" s="57">
        <f t="shared" si="62"/>
        <v>826670.55999999994</v>
      </c>
      <c r="M63" s="57">
        <f t="shared" si="62"/>
        <v>821254.88</v>
      </c>
      <c r="N63" s="57">
        <f t="shared" si="62"/>
        <v>821254.88</v>
      </c>
      <c r="O63" s="57">
        <f t="shared" si="62"/>
        <v>821254.61</v>
      </c>
      <c r="P63" s="57">
        <f>15262.83+53533.58+11136.18</f>
        <v>79932.59</v>
      </c>
      <c r="Q63" s="57">
        <v>0</v>
      </c>
      <c r="R63" s="57">
        <f>1120480.3-1575.53</f>
        <v>1118904.77</v>
      </c>
      <c r="S63" s="57">
        <f>1186056.05-1669.62</f>
        <v>1184386.43</v>
      </c>
      <c r="T63" s="57">
        <f>817419.21-1151.79</f>
        <v>816267.41999999993</v>
      </c>
      <c r="U63" s="57">
        <f t="shared" si="63"/>
        <v>1920140.02</v>
      </c>
      <c r="V63" s="57">
        <f t="shared" si="63"/>
        <v>304550.02</v>
      </c>
      <c r="W63" s="57">
        <f t="shared" si="63"/>
        <v>302348.11</v>
      </c>
      <c r="X63" s="57">
        <f t="shared" si="63"/>
        <v>302348.11</v>
      </c>
      <c r="Z63" s="56">
        <f t="shared" si="64"/>
        <v>302348.11</v>
      </c>
      <c r="AA63" s="58">
        <f>SUM(E63:$Z$63)-Y63</f>
        <v>28141686.309999995</v>
      </c>
      <c r="AB63" s="50"/>
      <c r="AC63" s="57">
        <v>59711.75</v>
      </c>
      <c r="AD63" s="57">
        <v>300716.2</v>
      </c>
      <c r="AE63" s="57">
        <v>299968.40000000002</v>
      </c>
      <c r="AF63" s="57">
        <v>299968.40000000002</v>
      </c>
      <c r="AG63" s="57">
        <v>299968.40999999997</v>
      </c>
      <c r="AH63" s="57">
        <v>9571.93</v>
      </c>
      <c r="AI63" s="57">
        <v>221529.53999999998</v>
      </c>
      <c r="AJ63" s="57">
        <v>419935.56</v>
      </c>
      <c r="AK63" s="57">
        <v>320407.81</v>
      </c>
      <c r="AL63" s="57">
        <v>320408.27999999997</v>
      </c>
      <c r="AM63" s="57">
        <f t="shared" si="65"/>
        <v>510997.79999999993</v>
      </c>
      <c r="AN63" s="57">
        <f t="shared" si="65"/>
        <v>502815.42</v>
      </c>
      <c r="AO63" s="57">
        <f t="shared" si="65"/>
        <v>503022.77999999997</v>
      </c>
      <c r="AP63" s="57">
        <f t="shared" si="65"/>
        <v>8537.1</v>
      </c>
      <c r="AQ63" s="57">
        <f t="shared" si="65"/>
        <v>391721.76999999996</v>
      </c>
      <c r="AR63" s="57">
        <f t="shared" si="65"/>
        <v>390980.91</v>
      </c>
      <c r="AS63" s="57">
        <f t="shared" si="65"/>
        <v>390980.91</v>
      </c>
      <c r="AT63" s="57">
        <f t="shared" si="65"/>
        <v>390980.74</v>
      </c>
      <c r="AU63" s="58">
        <f>SUM(AC63:$AT$63)</f>
        <v>5642223.71</v>
      </c>
      <c r="AV63" s="57" t="e">
        <f>(-#REF!+AV47)*AV$89</f>
        <v>#REF!</v>
      </c>
      <c r="AW63" s="57" t="e">
        <f t="shared" ref="AW63:BQ63" si="77">(-AV79+AW47)*AW$89</f>
        <v>#REF!</v>
      </c>
      <c r="AX63" s="57" t="e">
        <f t="shared" si="77"/>
        <v>#REF!</v>
      </c>
      <c r="AY63" s="57" t="e">
        <f t="shared" si="77"/>
        <v>#REF!</v>
      </c>
      <c r="AZ63" s="57" t="e">
        <f t="shared" si="77"/>
        <v>#REF!</v>
      </c>
      <c r="BA63" s="57" t="e">
        <f t="shared" si="77"/>
        <v>#REF!</v>
      </c>
      <c r="BB63" s="57" t="e">
        <f t="shared" si="77"/>
        <v>#REF!</v>
      </c>
      <c r="BC63" s="57" t="e">
        <f t="shared" si="77"/>
        <v>#REF!</v>
      </c>
      <c r="BD63" s="57" t="e">
        <f t="shared" si="77"/>
        <v>#REF!</v>
      </c>
      <c r="BE63" s="57" t="e">
        <f t="shared" si="77"/>
        <v>#REF!</v>
      </c>
      <c r="BF63" s="57" t="e">
        <f t="shared" si="77"/>
        <v>#REF!</v>
      </c>
      <c r="BG63" s="57" t="e">
        <f t="shared" si="77"/>
        <v>#REF!</v>
      </c>
      <c r="BH63" s="57" t="e">
        <f t="shared" si="77"/>
        <v>#REF!</v>
      </c>
      <c r="BI63" s="57" t="e">
        <f t="shared" si="77"/>
        <v>#REF!</v>
      </c>
      <c r="BJ63" s="57" t="e">
        <f t="shared" si="77"/>
        <v>#REF!</v>
      </c>
      <c r="BK63" s="57" t="e">
        <f t="shared" si="77"/>
        <v>#REF!</v>
      </c>
      <c r="BL63" s="57" t="e">
        <f t="shared" si="77"/>
        <v>#REF!</v>
      </c>
      <c r="BM63" s="57" t="e">
        <f t="shared" si="77"/>
        <v>#REF!</v>
      </c>
      <c r="BN63" s="57" t="e">
        <f t="shared" si="77"/>
        <v>#REF!</v>
      </c>
      <c r="BO63" s="57" t="e">
        <f t="shared" si="77"/>
        <v>#REF!</v>
      </c>
      <c r="BP63" s="57" t="e">
        <f t="shared" si="77"/>
        <v>#REF!</v>
      </c>
      <c r="BQ63" s="56" t="e">
        <f t="shared" si="77"/>
        <v>#REF!</v>
      </c>
      <c r="BR63" s="51" t="e">
        <f>SUM(#REF!)</f>
        <v>#REF!</v>
      </c>
      <c r="BS63" s="50"/>
      <c r="BT63" s="57" t="e">
        <f t="shared" si="67"/>
        <v>#REF!</v>
      </c>
      <c r="BU63" s="57" t="e">
        <f t="shared" ref="BU63:CO63" si="78">(-BT79+BU47)*BU$89</f>
        <v>#REF!</v>
      </c>
      <c r="BV63" s="57" t="e">
        <f t="shared" si="78"/>
        <v>#REF!</v>
      </c>
      <c r="BW63" s="57" t="e">
        <f t="shared" si="78"/>
        <v>#REF!</v>
      </c>
      <c r="BX63" s="57" t="e">
        <f t="shared" si="78"/>
        <v>#REF!</v>
      </c>
      <c r="BY63" s="57" t="e">
        <f t="shared" si="78"/>
        <v>#REF!</v>
      </c>
      <c r="BZ63" s="57" t="e">
        <f t="shared" si="78"/>
        <v>#REF!</v>
      </c>
      <c r="CA63" s="57" t="e">
        <f t="shared" si="78"/>
        <v>#REF!</v>
      </c>
      <c r="CB63" s="57" t="e">
        <f t="shared" si="78"/>
        <v>#REF!</v>
      </c>
      <c r="CC63" s="57" t="e">
        <f t="shared" si="78"/>
        <v>#REF!</v>
      </c>
      <c r="CD63" s="57" t="e">
        <f t="shared" si="78"/>
        <v>#REF!</v>
      </c>
      <c r="CE63" s="57" t="e">
        <f t="shared" si="78"/>
        <v>#REF!</v>
      </c>
      <c r="CF63" s="57" t="e">
        <f t="shared" si="78"/>
        <v>#REF!</v>
      </c>
      <c r="CG63" s="57" t="e">
        <f t="shared" si="78"/>
        <v>#REF!</v>
      </c>
      <c r="CH63" s="57" t="e">
        <f t="shared" si="78"/>
        <v>#REF!</v>
      </c>
      <c r="CI63" s="57" t="e">
        <f t="shared" si="78"/>
        <v>#REF!</v>
      </c>
      <c r="CJ63" s="57" t="e">
        <f t="shared" si="78"/>
        <v>#REF!</v>
      </c>
      <c r="CK63" s="57" t="e">
        <f t="shared" si="78"/>
        <v>#REF!</v>
      </c>
      <c r="CL63" s="57" t="e">
        <f t="shared" si="78"/>
        <v>#REF!</v>
      </c>
      <c r="CM63" s="57" t="e">
        <f t="shared" si="78"/>
        <v>#REF!</v>
      </c>
      <c r="CN63" s="57" t="e">
        <f t="shared" si="78"/>
        <v>#REF!</v>
      </c>
      <c r="CO63" s="56" t="e">
        <f t="shared" si="78"/>
        <v>#REF!</v>
      </c>
      <c r="CP63" s="51">
        <f>SUM(K63:$Z$63)</f>
        <v>9621660.5099999961</v>
      </c>
      <c r="CQ63" s="50"/>
      <c r="CR63" s="57" t="e">
        <f t="shared" si="69"/>
        <v>#REF!</v>
      </c>
      <c r="CS63" s="57" t="e">
        <f t="shared" ref="CS63:DL63" si="79">(-CR79+CS47)*CS$89</f>
        <v>#REF!</v>
      </c>
      <c r="CT63" s="57" t="e">
        <f t="shared" si="79"/>
        <v>#REF!</v>
      </c>
      <c r="CU63" s="57" t="e">
        <f t="shared" si="79"/>
        <v>#REF!</v>
      </c>
      <c r="CV63" s="57" t="e">
        <f t="shared" si="79"/>
        <v>#REF!</v>
      </c>
      <c r="CW63" s="57" t="e">
        <f t="shared" si="79"/>
        <v>#REF!</v>
      </c>
      <c r="CX63" s="57" t="e">
        <f t="shared" si="79"/>
        <v>#REF!</v>
      </c>
      <c r="CY63" s="57" t="e">
        <f t="shared" si="79"/>
        <v>#REF!</v>
      </c>
      <c r="CZ63" s="57" t="e">
        <f t="shared" si="79"/>
        <v>#REF!</v>
      </c>
      <c r="DA63" s="57" t="e">
        <f t="shared" si="79"/>
        <v>#REF!</v>
      </c>
      <c r="DB63" s="57" t="e">
        <f t="shared" si="79"/>
        <v>#REF!</v>
      </c>
      <c r="DC63" s="57" t="e">
        <f t="shared" si="79"/>
        <v>#REF!</v>
      </c>
      <c r="DD63" s="57" t="e">
        <f t="shared" si="79"/>
        <v>#REF!</v>
      </c>
      <c r="DE63" s="57" t="e">
        <f t="shared" si="79"/>
        <v>#REF!</v>
      </c>
      <c r="DF63" s="57" t="e">
        <f t="shared" si="79"/>
        <v>#REF!</v>
      </c>
      <c r="DG63" s="57" t="e">
        <f t="shared" si="79"/>
        <v>#REF!</v>
      </c>
      <c r="DH63" s="57" t="e">
        <f t="shared" si="79"/>
        <v>#REF!</v>
      </c>
      <c r="DI63" s="57" t="e">
        <f t="shared" si="79"/>
        <v>#REF!</v>
      </c>
      <c r="DJ63" s="57" t="e">
        <f t="shared" si="79"/>
        <v>#REF!</v>
      </c>
      <c r="DK63" s="57" t="e">
        <f t="shared" si="79"/>
        <v>#REF!</v>
      </c>
      <c r="DL63" s="56" t="e">
        <f t="shared" si="79"/>
        <v>#REF!</v>
      </c>
      <c r="DM63" s="51">
        <f>SUM(M63:$Z$63)</f>
        <v>8794989.9499999993</v>
      </c>
      <c r="DN63" s="50"/>
      <c r="DO63" s="57" t="e">
        <f t="shared" si="71"/>
        <v>#REF!</v>
      </c>
      <c r="DP63" s="57" t="e">
        <f t="shared" ref="DP63:EJ63" si="80">(-DO79+DP47)*DP$89</f>
        <v>#REF!</v>
      </c>
      <c r="DQ63" s="57" t="e">
        <f t="shared" si="80"/>
        <v>#REF!</v>
      </c>
      <c r="DR63" s="57" t="e">
        <f t="shared" si="80"/>
        <v>#REF!</v>
      </c>
      <c r="DS63" s="57" t="e">
        <f t="shared" si="80"/>
        <v>#REF!</v>
      </c>
      <c r="DT63" s="57" t="e">
        <f t="shared" si="80"/>
        <v>#REF!</v>
      </c>
      <c r="DU63" s="57" t="e">
        <f t="shared" si="80"/>
        <v>#REF!</v>
      </c>
      <c r="DV63" s="57" t="e">
        <f t="shared" si="80"/>
        <v>#REF!</v>
      </c>
      <c r="DW63" s="57" t="e">
        <f t="shared" si="80"/>
        <v>#REF!</v>
      </c>
      <c r="DX63" s="57" t="e">
        <f t="shared" si="80"/>
        <v>#REF!</v>
      </c>
      <c r="DY63" s="57" t="e">
        <f t="shared" si="80"/>
        <v>#REF!</v>
      </c>
      <c r="DZ63" s="57" t="e">
        <f t="shared" si="80"/>
        <v>#REF!</v>
      </c>
      <c r="EA63" s="57" t="e">
        <f t="shared" si="80"/>
        <v>#REF!</v>
      </c>
      <c r="EB63" s="57" t="e">
        <f t="shared" si="80"/>
        <v>#REF!</v>
      </c>
      <c r="EC63" s="57" t="e">
        <f t="shared" si="80"/>
        <v>#REF!</v>
      </c>
      <c r="ED63" s="57" t="e">
        <f t="shared" si="80"/>
        <v>#REF!</v>
      </c>
      <c r="EE63" s="57" t="e">
        <f t="shared" si="80"/>
        <v>#REF!</v>
      </c>
      <c r="EF63" s="57" t="e">
        <f t="shared" si="80"/>
        <v>#REF!</v>
      </c>
      <c r="EG63" s="57" t="e">
        <f t="shared" si="80"/>
        <v>#REF!</v>
      </c>
      <c r="EH63" s="57" t="e">
        <f t="shared" si="80"/>
        <v>#REF!</v>
      </c>
      <c r="EI63" s="57" t="e">
        <f t="shared" si="80"/>
        <v>#REF!</v>
      </c>
      <c r="EJ63" s="56" t="e">
        <f t="shared" si="80"/>
        <v>#REF!</v>
      </c>
      <c r="EK63" s="51">
        <f>SUM(O63:$Z$63)</f>
        <v>7152480.1900000004</v>
      </c>
      <c r="EL63" s="50"/>
    </row>
    <row r="64" spans="1:144" s="13" customFormat="1" ht="25" customHeight="1">
      <c r="A64" s="24"/>
      <c r="B64" s="11"/>
      <c r="C64" s="49" t="s">
        <v>16</v>
      </c>
      <c r="D64" s="47"/>
      <c r="E64" s="46">
        <v>14090.63</v>
      </c>
      <c r="F64" s="46">
        <v>9851.41</v>
      </c>
      <c r="G64" s="46">
        <v>7465.45</v>
      </c>
      <c r="H64" s="46">
        <v>8646.19</v>
      </c>
      <c r="I64" s="46">
        <f t="shared" si="62"/>
        <v>11346.8</v>
      </c>
      <c r="J64" s="46">
        <f t="shared" si="62"/>
        <v>10297.17</v>
      </c>
      <c r="K64" s="46">
        <f t="shared" si="62"/>
        <v>3432.39</v>
      </c>
      <c r="L64" s="46">
        <f t="shared" si="62"/>
        <v>3432.39</v>
      </c>
      <c r="M64" s="46">
        <f t="shared" si="62"/>
        <v>3432</v>
      </c>
      <c r="N64" s="46">
        <f t="shared" si="62"/>
        <v>3432</v>
      </c>
      <c r="O64" s="46">
        <f t="shared" si="62"/>
        <v>10297.17</v>
      </c>
      <c r="P64" s="46">
        <v>1561.74</v>
      </c>
      <c r="Q64" s="46">
        <v>1487.16</v>
      </c>
      <c r="R64" s="46">
        <v>2683.18</v>
      </c>
      <c r="S64" s="46">
        <v>2437.0100000000002</v>
      </c>
      <c r="T64" s="46">
        <v>1681.18</v>
      </c>
      <c r="U64" s="46">
        <f t="shared" si="63"/>
        <v>17607.39</v>
      </c>
      <c r="V64" s="46">
        <f t="shared" si="63"/>
        <v>3432.39</v>
      </c>
      <c r="W64" s="46">
        <f t="shared" si="63"/>
        <v>3432.39</v>
      </c>
      <c r="X64" s="46">
        <f t="shared" si="63"/>
        <v>3432.39</v>
      </c>
      <c r="Z64" s="45">
        <f t="shared" si="64"/>
        <v>10297.17</v>
      </c>
      <c r="AA64" s="47">
        <f>SUM(E64:$Z$64)-Y64</f>
        <v>133775.59999999998</v>
      </c>
      <c r="AB64" s="43"/>
      <c r="AC64" s="46">
        <v>16047.75</v>
      </c>
      <c r="AD64" s="46">
        <v>3432.39</v>
      </c>
      <c r="AE64" s="46">
        <v>3432.39</v>
      </c>
      <c r="AF64" s="46">
        <v>3432.39</v>
      </c>
      <c r="AG64" s="46">
        <v>10664.54</v>
      </c>
      <c r="AH64" s="46">
        <v>2926.1</v>
      </c>
      <c r="AI64" s="46">
        <v>3496.12</v>
      </c>
      <c r="AJ64" s="46">
        <v>4978.13</v>
      </c>
      <c r="AK64" s="46">
        <v>3800.13</v>
      </c>
      <c r="AL64" s="46">
        <v>11400.39</v>
      </c>
      <c r="AM64" s="46">
        <f t="shared" si="65"/>
        <v>3800.13</v>
      </c>
      <c r="AN64" s="46">
        <f t="shared" si="65"/>
        <v>3800</v>
      </c>
      <c r="AO64" s="46">
        <f t="shared" si="65"/>
        <v>3800.13</v>
      </c>
      <c r="AP64" s="46">
        <f t="shared" si="65"/>
        <v>3800</v>
      </c>
      <c r="AQ64" s="46">
        <f t="shared" si="65"/>
        <v>19000.650000000001</v>
      </c>
      <c r="AR64" s="46">
        <f t="shared" si="65"/>
        <v>3800.13</v>
      </c>
      <c r="AS64" s="46">
        <f t="shared" si="65"/>
        <v>3800</v>
      </c>
      <c r="AT64" s="46">
        <f t="shared" si="65"/>
        <v>11400.39</v>
      </c>
      <c r="AU64" s="47">
        <f>SUM(AC64:$AT$64)</f>
        <v>116811.76</v>
      </c>
      <c r="AV64" s="46" t="e">
        <f>(-#REF!+AV48)*AV$89</f>
        <v>#REF!</v>
      </c>
      <c r="AW64" s="46" t="e">
        <f t="shared" ref="AW64:BQ64" si="81">(-AV80+AW48)*AW$89</f>
        <v>#REF!</v>
      </c>
      <c r="AX64" s="46" t="e">
        <f t="shared" si="81"/>
        <v>#REF!</v>
      </c>
      <c r="AY64" s="46" t="e">
        <f t="shared" si="81"/>
        <v>#REF!</v>
      </c>
      <c r="AZ64" s="46" t="e">
        <f t="shared" si="81"/>
        <v>#REF!</v>
      </c>
      <c r="BA64" s="46" t="e">
        <f t="shared" si="81"/>
        <v>#REF!</v>
      </c>
      <c r="BB64" s="46" t="e">
        <f t="shared" si="81"/>
        <v>#REF!</v>
      </c>
      <c r="BC64" s="46" t="e">
        <f t="shared" si="81"/>
        <v>#REF!</v>
      </c>
      <c r="BD64" s="46" t="e">
        <f t="shared" si="81"/>
        <v>#REF!</v>
      </c>
      <c r="BE64" s="46" t="e">
        <f t="shared" si="81"/>
        <v>#REF!</v>
      </c>
      <c r="BF64" s="46" t="e">
        <f t="shared" si="81"/>
        <v>#REF!</v>
      </c>
      <c r="BG64" s="46" t="e">
        <f t="shared" si="81"/>
        <v>#REF!</v>
      </c>
      <c r="BH64" s="46" t="e">
        <f t="shared" si="81"/>
        <v>#REF!</v>
      </c>
      <c r="BI64" s="46" t="e">
        <f t="shared" si="81"/>
        <v>#REF!</v>
      </c>
      <c r="BJ64" s="46" t="e">
        <f t="shared" si="81"/>
        <v>#REF!</v>
      </c>
      <c r="BK64" s="46" t="e">
        <f t="shared" si="81"/>
        <v>#REF!</v>
      </c>
      <c r="BL64" s="46" t="e">
        <f t="shared" si="81"/>
        <v>#REF!</v>
      </c>
      <c r="BM64" s="46" t="e">
        <f t="shared" si="81"/>
        <v>#REF!</v>
      </c>
      <c r="BN64" s="46" t="e">
        <f t="shared" si="81"/>
        <v>#REF!</v>
      </c>
      <c r="BO64" s="46" t="e">
        <f t="shared" si="81"/>
        <v>#REF!</v>
      </c>
      <c r="BP64" s="46" t="e">
        <f t="shared" si="81"/>
        <v>#REF!</v>
      </c>
      <c r="BQ64" s="45" t="e">
        <f t="shared" si="81"/>
        <v>#REF!</v>
      </c>
      <c r="BR64" s="44" t="e">
        <f>SUM(#REF!)</f>
        <v>#REF!</v>
      </c>
      <c r="BS64" s="43"/>
      <c r="BT64" s="46" t="e">
        <f t="shared" si="67"/>
        <v>#REF!</v>
      </c>
      <c r="BU64" s="46" t="e">
        <f t="shared" ref="BU64:CO64" si="82">(-BT80+BU48)*BU$89</f>
        <v>#REF!</v>
      </c>
      <c r="BV64" s="46" t="e">
        <f t="shared" si="82"/>
        <v>#REF!</v>
      </c>
      <c r="BW64" s="46" t="e">
        <f t="shared" si="82"/>
        <v>#REF!</v>
      </c>
      <c r="BX64" s="46" t="e">
        <f t="shared" si="82"/>
        <v>#REF!</v>
      </c>
      <c r="BY64" s="46" t="e">
        <f t="shared" si="82"/>
        <v>#REF!</v>
      </c>
      <c r="BZ64" s="46" t="e">
        <f t="shared" si="82"/>
        <v>#REF!</v>
      </c>
      <c r="CA64" s="46" t="e">
        <f t="shared" si="82"/>
        <v>#REF!</v>
      </c>
      <c r="CB64" s="46" t="e">
        <f t="shared" si="82"/>
        <v>#REF!</v>
      </c>
      <c r="CC64" s="46" t="e">
        <f t="shared" si="82"/>
        <v>#REF!</v>
      </c>
      <c r="CD64" s="46" t="e">
        <f t="shared" si="82"/>
        <v>#REF!</v>
      </c>
      <c r="CE64" s="46" t="e">
        <f t="shared" si="82"/>
        <v>#REF!</v>
      </c>
      <c r="CF64" s="46" t="e">
        <f t="shared" si="82"/>
        <v>#REF!</v>
      </c>
      <c r="CG64" s="46" t="e">
        <f t="shared" si="82"/>
        <v>#REF!</v>
      </c>
      <c r="CH64" s="46" t="e">
        <f t="shared" si="82"/>
        <v>#REF!</v>
      </c>
      <c r="CI64" s="46" t="e">
        <f t="shared" si="82"/>
        <v>#REF!</v>
      </c>
      <c r="CJ64" s="46" t="e">
        <f t="shared" si="82"/>
        <v>#REF!</v>
      </c>
      <c r="CK64" s="46" t="e">
        <f t="shared" si="82"/>
        <v>#REF!</v>
      </c>
      <c r="CL64" s="46" t="e">
        <f t="shared" si="82"/>
        <v>#REF!</v>
      </c>
      <c r="CM64" s="46" t="e">
        <f t="shared" si="82"/>
        <v>#REF!</v>
      </c>
      <c r="CN64" s="46" t="e">
        <f t="shared" si="82"/>
        <v>#REF!</v>
      </c>
      <c r="CO64" s="45" t="e">
        <f t="shared" si="82"/>
        <v>#REF!</v>
      </c>
      <c r="CP64" s="44">
        <f>SUM(K64:$Z$64)</f>
        <v>72077.95</v>
      </c>
      <c r="CQ64" s="43"/>
      <c r="CR64" s="46" t="e">
        <f t="shared" si="69"/>
        <v>#REF!</v>
      </c>
      <c r="CS64" s="46" t="e">
        <f t="shared" ref="CS64:DL64" si="83">(-CR80+CS48)*CS$89</f>
        <v>#REF!</v>
      </c>
      <c r="CT64" s="46" t="e">
        <f t="shared" si="83"/>
        <v>#REF!</v>
      </c>
      <c r="CU64" s="46" t="e">
        <f t="shared" si="83"/>
        <v>#REF!</v>
      </c>
      <c r="CV64" s="46" t="e">
        <f t="shared" si="83"/>
        <v>#REF!</v>
      </c>
      <c r="CW64" s="46" t="e">
        <f t="shared" si="83"/>
        <v>#REF!</v>
      </c>
      <c r="CX64" s="46" t="e">
        <f t="shared" si="83"/>
        <v>#REF!</v>
      </c>
      <c r="CY64" s="46" t="e">
        <f t="shared" si="83"/>
        <v>#REF!</v>
      </c>
      <c r="CZ64" s="46" t="e">
        <f t="shared" si="83"/>
        <v>#REF!</v>
      </c>
      <c r="DA64" s="46" t="e">
        <f t="shared" si="83"/>
        <v>#REF!</v>
      </c>
      <c r="DB64" s="46" t="e">
        <f t="shared" si="83"/>
        <v>#REF!</v>
      </c>
      <c r="DC64" s="46" t="e">
        <f t="shared" si="83"/>
        <v>#REF!</v>
      </c>
      <c r="DD64" s="46" t="e">
        <f t="shared" si="83"/>
        <v>#REF!</v>
      </c>
      <c r="DE64" s="46" t="e">
        <f t="shared" si="83"/>
        <v>#REF!</v>
      </c>
      <c r="DF64" s="46" t="e">
        <f t="shared" si="83"/>
        <v>#REF!</v>
      </c>
      <c r="DG64" s="46" t="e">
        <f t="shared" si="83"/>
        <v>#REF!</v>
      </c>
      <c r="DH64" s="46" t="e">
        <f t="shared" si="83"/>
        <v>#REF!</v>
      </c>
      <c r="DI64" s="46" t="e">
        <f t="shared" si="83"/>
        <v>#REF!</v>
      </c>
      <c r="DJ64" s="46" t="e">
        <f t="shared" si="83"/>
        <v>#REF!</v>
      </c>
      <c r="DK64" s="46" t="e">
        <f t="shared" si="83"/>
        <v>#REF!</v>
      </c>
      <c r="DL64" s="45" t="e">
        <f t="shared" si="83"/>
        <v>#REF!</v>
      </c>
      <c r="DM64" s="44">
        <f>SUM(M64:$Z$64)</f>
        <v>65213.17</v>
      </c>
      <c r="DN64" s="43"/>
      <c r="DO64" s="46" t="e">
        <f t="shared" si="71"/>
        <v>#REF!</v>
      </c>
      <c r="DP64" s="46" t="e">
        <f t="shared" ref="DP64:EJ64" si="84">(-DO80+DP48)*DP$89</f>
        <v>#REF!</v>
      </c>
      <c r="DQ64" s="46" t="e">
        <f t="shared" si="84"/>
        <v>#REF!</v>
      </c>
      <c r="DR64" s="46" t="e">
        <f t="shared" si="84"/>
        <v>#REF!</v>
      </c>
      <c r="DS64" s="46" t="e">
        <f t="shared" si="84"/>
        <v>#REF!</v>
      </c>
      <c r="DT64" s="46" t="e">
        <f t="shared" si="84"/>
        <v>#REF!</v>
      </c>
      <c r="DU64" s="46" t="e">
        <f t="shared" si="84"/>
        <v>#REF!</v>
      </c>
      <c r="DV64" s="46" t="e">
        <f t="shared" si="84"/>
        <v>#REF!</v>
      </c>
      <c r="DW64" s="46" t="e">
        <f t="shared" si="84"/>
        <v>#REF!</v>
      </c>
      <c r="DX64" s="46" t="e">
        <f t="shared" si="84"/>
        <v>#REF!</v>
      </c>
      <c r="DY64" s="46" t="e">
        <f t="shared" si="84"/>
        <v>#REF!</v>
      </c>
      <c r="DZ64" s="46" t="e">
        <f t="shared" si="84"/>
        <v>#REF!</v>
      </c>
      <c r="EA64" s="46" t="e">
        <f t="shared" si="84"/>
        <v>#REF!</v>
      </c>
      <c r="EB64" s="46" t="e">
        <f t="shared" si="84"/>
        <v>#REF!</v>
      </c>
      <c r="EC64" s="46" t="e">
        <f t="shared" si="84"/>
        <v>#REF!</v>
      </c>
      <c r="ED64" s="46" t="e">
        <f t="shared" si="84"/>
        <v>#REF!</v>
      </c>
      <c r="EE64" s="46" t="e">
        <f t="shared" si="84"/>
        <v>#REF!</v>
      </c>
      <c r="EF64" s="46" t="e">
        <f t="shared" si="84"/>
        <v>#REF!</v>
      </c>
      <c r="EG64" s="46" t="e">
        <f t="shared" si="84"/>
        <v>#REF!</v>
      </c>
      <c r="EH64" s="46" t="e">
        <f t="shared" si="84"/>
        <v>#REF!</v>
      </c>
      <c r="EI64" s="46" t="e">
        <f t="shared" si="84"/>
        <v>#REF!</v>
      </c>
      <c r="EJ64" s="45" t="e">
        <f t="shared" si="84"/>
        <v>#REF!</v>
      </c>
      <c r="EK64" s="44">
        <f>SUM(O64:$Z$64)</f>
        <v>58349.17</v>
      </c>
      <c r="EL64" s="43"/>
      <c r="EN64" s="21"/>
    </row>
    <row r="65" spans="1:144" s="13" customFormat="1" ht="25" customHeight="1">
      <c r="A65" s="24"/>
      <c r="B65" s="11"/>
      <c r="C65" s="55" t="s">
        <v>3</v>
      </c>
      <c r="D65" s="54"/>
      <c r="E65" s="53">
        <v>46415.31</v>
      </c>
      <c r="F65" s="53">
        <v>35372.6</v>
      </c>
      <c r="G65" s="53">
        <v>764655.61</v>
      </c>
      <c r="H65" s="53">
        <v>52282.9</v>
      </c>
      <c r="I65" s="53">
        <f t="shared" si="62"/>
        <v>65451.89</v>
      </c>
      <c r="J65" s="53">
        <f t="shared" si="62"/>
        <v>278041.28000000003</v>
      </c>
      <c r="K65" s="53">
        <f t="shared" si="62"/>
        <v>32836.300000000003</v>
      </c>
      <c r="L65" s="53">
        <f t="shared" si="62"/>
        <v>34222.71</v>
      </c>
      <c r="M65" s="53">
        <f t="shared" si="62"/>
        <v>34566.15</v>
      </c>
      <c r="N65" s="53">
        <f t="shared" si="62"/>
        <v>159103.21</v>
      </c>
      <c r="O65" s="53">
        <f t="shared" si="62"/>
        <v>281147.46999999997</v>
      </c>
      <c r="P65" s="53">
        <v>15915.13</v>
      </c>
      <c r="Q65" s="53">
        <f>2599.68+12555.58</f>
        <v>15155.26</v>
      </c>
      <c r="R65" s="53">
        <v>29313.15</v>
      </c>
      <c r="S65" s="53">
        <f>5300+20874.43</f>
        <v>26174.43</v>
      </c>
      <c r="T65" s="53">
        <f>3428.6+14180.23</f>
        <v>17608.829999999998</v>
      </c>
      <c r="U65" s="53">
        <f t="shared" si="63"/>
        <v>678159.81</v>
      </c>
      <c r="V65" s="53">
        <f t="shared" si="63"/>
        <v>30515.29</v>
      </c>
      <c r="W65" s="53">
        <f t="shared" si="63"/>
        <v>30884.58</v>
      </c>
      <c r="X65" s="53">
        <f t="shared" si="63"/>
        <v>29457.4</v>
      </c>
      <c r="Z65" s="52">
        <f t="shared" si="64"/>
        <v>64369.48</v>
      </c>
      <c r="AA65" s="54">
        <f>SUM(E65:$Z$65)-Y65</f>
        <v>2721648.79</v>
      </c>
      <c r="AB65" s="50"/>
      <c r="AC65" s="53">
        <v>30133.51</v>
      </c>
      <c r="AD65" s="53">
        <v>31017.98</v>
      </c>
      <c r="AE65" s="53">
        <v>30688.83</v>
      </c>
      <c r="AF65" s="53">
        <v>30515.42</v>
      </c>
      <c r="AG65" s="53">
        <v>616363.46</v>
      </c>
      <c r="AH65" s="53">
        <v>24383.45</v>
      </c>
      <c r="AI65" s="53">
        <v>30101.49</v>
      </c>
      <c r="AJ65" s="53">
        <v>43169.02</v>
      </c>
      <c r="AK65" s="53">
        <v>18147.72</v>
      </c>
      <c r="AL65" s="53">
        <v>877877.5</v>
      </c>
      <c r="AM65" s="53">
        <f t="shared" si="65"/>
        <v>34253.39</v>
      </c>
      <c r="AN65" s="53">
        <f t="shared" si="65"/>
        <v>34681.85</v>
      </c>
      <c r="AO65" s="53">
        <f t="shared" si="65"/>
        <v>34684.720000000001</v>
      </c>
      <c r="AP65" s="53">
        <f t="shared" si="65"/>
        <v>34330.129999999997</v>
      </c>
      <c r="AQ65" s="53">
        <f t="shared" si="65"/>
        <v>577699.23</v>
      </c>
      <c r="AR65" s="53">
        <f t="shared" si="65"/>
        <v>25371.35</v>
      </c>
      <c r="AS65" s="53">
        <f t="shared" si="65"/>
        <v>32557.45</v>
      </c>
      <c r="AT65" s="53">
        <f t="shared" si="65"/>
        <v>582059.69999999995</v>
      </c>
      <c r="AU65" s="54">
        <f>SUM(AC65:$AT$65)</f>
        <v>3088036.2</v>
      </c>
      <c r="AV65" s="53" t="e">
        <f>(-#REF!+AV49)*AV$89</f>
        <v>#REF!</v>
      </c>
      <c r="AW65" s="53" t="e">
        <f t="shared" ref="AW65:BQ65" si="85">(-AV81+AW49)*AW$89</f>
        <v>#REF!</v>
      </c>
      <c r="AX65" s="53" t="e">
        <f t="shared" si="85"/>
        <v>#REF!</v>
      </c>
      <c r="AY65" s="53" t="e">
        <f t="shared" si="85"/>
        <v>#REF!</v>
      </c>
      <c r="AZ65" s="53" t="e">
        <f t="shared" si="85"/>
        <v>#REF!</v>
      </c>
      <c r="BA65" s="53" t="e">
        <f t="shared" si="85"/>
        <v>#REF!</v>
      </c>
      <c r="BB65" s="53" t="e">
        <f t="shared" si="85"/>
        <v>#REF!</v>
      </c>
      <c r="BC65" s="53" t="e">
        <f t="shared" si="85"/>
        <v>#REF!</v>
      </c>
      <c r="BD65" s="53" t="e">
        <f t="shared" si="85"/>
        <v>#REF!</v>
      </c>
      <c r="BE65" s="53" t="e">
        <f t="shared" si="85"/>
        <v>#REF!</v>
      </c>
      <c r="BF65" s="53" t="e">
        <f t="shared" si="85"/>
        <v>#REF!</v>
      </c>
      <c r="BG65" s="53" t="e">
        <f t="shared" si="85"/>
        <v>#REF!</v>
      </c>
      <c r="BH65" s="53" t="e">
        <f t="shared" si="85"/>
        <v>#REF!</v>
      </c>
      <c r="BI65" s="53" t="e">
        <f t="shared" si="85"/>
        <v>#REF!</v>
      </c>
      <c r="BJ65" s="53" t="e">
        <f t="shared" si="85"/>
        <v>#REF!</v>
      </c>
      <c r="BK65" s="53" t="e">
        <f t="shared" si="85"/>
        <v>#REF!</v>
      </c>
      <c r="BL65" s="53" t="e">
        <f t="shared" si="85"/>
        <v>#REF!</v>
      </c>
      <c r="BM65" s="53" t="e">
        <f t="shared" si="85"/>
        <v>#REF!</v>
      </c>
      <c r="BN65" s="53" t="e">
        <f t="shared" si="85"/>
        <v>#REF!</v>
      </c>
      <c r="BO65" s="53" t="e">
        <f t="shared" si="85"/>
        <v>#REF!</v>
      </c>
      <c r="BP65" s="53" t="e">
        <f t="shared" si="85"/>
        <v>#REF!</v>
      </c>
      <c r="BQ65" s="52" t="e">
        <f t="shared" si="85"/>
        <v>#REF!</v>
      </c>
      <c r="BR65" s="51" t="e">
        <f>SUM(#REF!)</f>
        <v>#REF!</v>
      </c>
      <c r="BS65" s="50"/>
      <c r="BT65" s="53" t="e">
        <f t="shared" si="67"/>
        <v>#REF!</v>
      </c>
      <c r="BU65" s="53" t="e">
        <f t="shared" ref="BU65:CO65" si="86">(-BT81+BU49)*BU$89</f>
        <v>#REF!</v>
      </c>
      <c r="BV65" s="53" t="e">
        <f t="shared" si="86"/>
        <v>#REF!</v>
      </c>
      <c r="BW65" s="53" t="e">
        <f t="shared" si="86"/>
        <v>#REF!</v>
      </c>
      <c r="BX65" s="53" t="e">
        <f t="shared" si="86"/>
        <v>#REF!</v>
      </c>
      <c r="BY65" s="53" t="e">
        <f t="shared" si="86"/>
        <v>#REF!</v>
      </c>
      <c r="BZ65" s="53" t="e">
        <f t="shared" si="86"/>
        <v>#REF!</v>
      </c>
      <c r="CA65" s="53" t="e">
        <f t="shared" si="86"/>
        <v>#REF!</v>
      </c>
      <c r="CB65" s="53" t="e">
        <f t="shared" si="86"/>
        <v>#REF!</v>
      </c>
      <c r="CC65" s="53" t="e">
        <f t="shared" si="86"/>
        <v>#REF!</v>
      </c>
      <c r="CD65" s="53" t="e">
        <f t="shared" si="86"/>
        <v>#REF!</v>
      </c>
      <c r="CE65" s="53" t="e">
        <f t="shared" si="86"/>
        <v>#REF!</v>
      </c>
      <c r="CF65" s="53" t="e">
        <f t="shared" si="86"/>
        <v>#REF!</v>
      </c>
      <c r="CG65" s="53" t="e">
        <f t="shared" si="86"/>
        <v>#REF!</v>
      </c>
      <c r="CH65" s="53" t="e">
        <f t="shared" si="86"/>
        <v>#REF!</v>
      </c>
      <c r="CI65" s="53" t="e">
        <f t="shared" si="86"/>
        <v>#REF!</v>
      </c>
      <c r="CJ65" s="53" t="e">
        <f t="shared" si="86"/>
        <v>#REF!</v>
      </c>
      <c r="CK65" s="53" t="e">
        <f t="shared" si="86"/>
        <v>#REF!</v>
      </c>
      <c r="CL65" s="53" t="e">
        <f t="shared" si="86"/>
        <v>#REF!</v>
      </c>
      <c r="CM65" s="53" t="e">
        <f t="shared" si="86"/>
        <v>#REF!</v>
      </c>
      <c r="CN65" s="53" t="e">
        <f t="shared" si="86"/>
        <v>#REF!</v>
      </c>
      <c r="CO65" s="52" t="e">
        <f t="shared" si="86"/>
        <v>#REF!</v>
      </c>
      <c r="CP65" s="51">
        <f>SUM(K65:$Z$65)</f>
        <v>1479429.2000000002</v>
      </c>
      <c r="CQ65" s="50"/>
      <c r="CR65" s="53" t="e">
        <f t="shared" si="69"/>
        <v>#REF!</v>
      </c>
      <c r="CS65" s="53" t="e">
        <f t="shared" ref="CS65:DL65" si="87">(-CR81+CS49)*CS$89</f>
        <v>#REF!</v>
      </c>
      <c r="CT65" s="53" t="e">
        <f t="shared" si="87"/>
        <v>#REF!</v>
      </c>
      <c r="CU65" s="53" t="e">
        <f t="shared" si="87"/>
        <v>#REF!</v>
      </c>
      <c r="CV65" s="53" t="e">
        <f t="shared" si="87"/>
        <v>#REF!</v>
      </c>
      <c r="CW65" s="53" t="e">
        <f t="shared" si="87"/>
        <v>#REF!</v>
      </c>
      <c r="CX65" s="53" t="e">
        <f t="shared" si="87"/>
        <v>#REF!</v>
      </c>
      <c r="CY65" s="53" t="e">
        <f t="shared" si="87"/>
        <v>#REF!</v>
      </c>
      <c r="CZ65" s="53" t="e">
        <f t="shared" si="87"/>
        <v>#REF!</v>
      </c>
      <c r="DA65" s="53" t="e">
        <f t="shared" si="87"/>
        <v>#REF!</v>
      </c>
      <c r="DB65" s="53" t="e">
        <f t="shared" si="87"/>
        <v>#REF!</v>
      </c>
      <c r="DC65" s="53" t="e">
        <f t="shared" si="87"/>
        <v>#REF!</v>
      </c>
      <c r="DD65" s="53" t="e">
        <f t="shared" si="87"/>
        <v>#REF!</v>
      </c>
      <c r="DE65" s="53" t="e">
        <f t="shared" si="87"/>
        <v>#REF!</v>
      </c>
      <c r="DF65" s="53" t="e">
        <f t="shared" si="87"/>
        <v>#REF!</v>
      </c>
      <c r="DG65" s="53" t="e">
        <f t="shared" si="87"/>
        <v>#REF!</v>
      </c>
      <c r="DH65" s="53" t="e">
        <f t="shared" si="87"/>
        <v>#REF!</v>
      </c>
      <c r="DI65" s="53" t="e">
        <f t="shared" si="87"/>
        <v>#REF!</v>
      </c>
      <c r="DJ65" s="53" t="e">
        <f t="shared" si="87"/>
        <v>#REF!</v>
      </c>
      <c r="DK65" s="53" t="e">
        <f t="shared" si="87"/>
        <v>#REF!</v>
      </c>
      <c r="DL65" s="52" t="e">
        <f t="shared" si="87"/>
        <v>#REF!</v>
      </c>
      <c r="DM65" s="51">
        <f>SUM(M65:$Z$65)</f>
        <v>1412370.19</v>
      </c>
      <c r="DN65" s="50"/>
      <c r="DO65" s="53" t="e">
        <f t="shared" si="71"/>
        <v>#REF!</v>
      </c>
      <c r="DP65" s="53" t="e">
        <f t="shared" ref="DP65:EJ65" si="88">(-DO81+DP49)*DP$89</f>
        <v>#REF!</v>
      </c>
      <c r="DQ65" s="53" t="e">
        <f t="shared" si="88"/>
        <v>#REF!</v>
      </c>
      <c r="DR65" s="53" t="e">
        <f t="shared" si="88"/>
        <v>#REF!</v>
      </c>
      <c r="DS65" s="53" t="e">
        <f t="shared" si="88"/>
        <v>#REF!</v>
      </c>
      <c r="DT65" s="53" t="e">
        <f t="shared" si="88"/>
        <v>#REF!</v>
      </c>
      <c r="DU65" s="53" t="e">
        <f t="shared" si="88"/>
        <v>#REF!</v>
      </c>
      <c r="DV65" s="53" t="e">
        <f t="shared" si="88"/>
        <v>#REF!</v>
      </c>
      <c r="DW65" s="53" t="e">
        <f t="shared" si="88"/>
        <v>#REF!</v>
      </c>
      <c r="DX65" s="53" t="e">
        <f t="shared" si="88"/>
        <v>#REF!</v>
      </c>
      <c r="DY65" s="53" t="e">
        <f t="shared" si="88"/>
        <v>#REF!</v>
      </c>
      <c r="DZ65" s="53" t="e">
        <f t="shared" si="88"/>
        <v>#REF!</v>
      </c>
      <c r="EA65" s="53" t="e">
        <f t="shared" si="88"/>
        <v>#REF!</v>
      </c>
      <c r="EB65" s="53" t="e">
        <f t="shared" si="88"/>
        <v>#REF!</v>
      </c>
      <c r="EC65" s="53" t="e">
        <f t="shared" si="88"/>
        <v>#REF!</v>
      </c>
      <c r="ED65" s="53" t="e">
        <f t="shared" si="88"/>
        <v>#REF!</v>
      </c>
      <c r="EE65" s="53" t="e">
        <f t="shared" si="88"/>
        <v>#REF!</v>
      </c>
      <c r="EF65" s="53" t="e">
        <f t="shared" si="88"/>
        <v>#REF!</v>
      </c>
      <c r="EG65" s="53" t="e">
        <f t="shared" si="88"/>
        <v>#REF!</v>
      </c>
      <c r="EH65" s="53" t="e">
        <f t="shared" si="88"/>
        <v>#REF!</v>
      </c>
      <c r="EI65" s="53" t="e">
        <f t="shared" si="88"/>
        <v>#REF!</v>
      </c>
      <c r="EJ65" s="52" t="e">
        <f t="shared" si="88"/>
        <v>#REF!</v>
      </c>
      <c r="EK65" s="51">
        <f>SUM(O65:$Z$65)</f>
        <v>1218700.83</v>
      </c>
      <c r="EL65" s="50"/>
      <c r="EN65" s="21"/>
    </row>
    <row r="66" spans="1:144" s="13" customFormat="1" ht="25" customHeight="1">
      <c r="A66" s="24"/>
      <c r="B66" s="11"/>
      <c r="C66" s="49" t="s">
        <v>2</v>
      </c>
      <c r="D66" s="47"/>
      <c r="E66" s="46">
        <f t="shared" ref="E66:H67" si="89">(-D82+E50)*E$89</f>
        <v>0</v>
      </c>
      <c r="F66" s="46">
        <f t="shared" si="89"/>
        <v>0</v>
      </c>
      <c r="G66" s="46">
        <f t="shared" si="89"/>
        <v>0</v>
      </c>
      <c r="H66" s="46">
        <f t="shared" si="89"/>
        <v>0</v>
      </c>
      <c r="I66" s="46">
        <f t="shared" si="62"/>
        <v>0</v>
      </c>
      <c r="J66" s="46">
        <f t="shared" si="62"/>
        <v>0</v>
      </c>
      <c r="K66" s="46">
        <f t="shared" si="62"/>
        <v>0</v>
      </c>
      <c r="L66" s="46">
        <f t="shared" si="62"/>
        <v>0</v>
      </c>
      <c r="M66" s="46">
        <f t="shared" si="62"/>
        <v>0</v>
      </c>
      <c r="N66" s="46">
        <f t="shared" si="62"/>
        <v>0</v>
      </c>
      <c r="O66" s="46">
        <f t="shared" si="62"/>
        <v>3157673.67</v>
      </c>
      <c r="P66" s="46">
        <f>(-O82+P50)*P$89</f>
        <v>0</v>
      </c>
      <c r="Q66" s="46">
        <v>0</v>
      </c>
      <c r="R66" s="46">
        <f>(-Q82+R50)*R$89</f>
        <v>0</v>
      </c>
      <c r="S66" s="46">
        <f>(-R82+S50)*S$89</f>
        <v>0</v>
      </c>
      <c r="T66" s="46">
        <f>(-S82+T50)*T$89</f>
        <v>0</v>
      </c>
      <c r="U66" s="46">
        <f t="shared" si="63"/>
        <v>0</v>
      </c>
      <c r="V66" s="46">
        <f t="shared" si="63"/>
        <v>0</v>
      </c>
      <c r="W66" s="46">
        <f t="shared" si="63"/>
        <v>0</v>
      </c>
      <c r="X66" s="46">
        <f t="shared" si="63"/>
        <v>0</v>
      </c>
      <c r="Z66" s="45">
        <f t="shared" si="64"/>
        <v>0</v>
      </c>
      <c r="AA66" s="47">
        <f>SUM(E66:$Z$66)-Y66</f>
        <v>3157673.67</v>
      </c>
      <c r="AB66" s="43"/>
      <c r="AC66" s="53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f t="shared" si="65"/>
        <v>2870612.43</v>
      </c>
      <c r="AN66" s="46">
        <f t="shared" si="65"/>
        <v>0</v>
      </c>
      <c r="AO66" s="46">
        <f t="shared" si="65"/>
        <v>0</v>
      </c>
      <c r="AP66" s="46">
        <f t="shared" si="65"/>
        <v>0</v>
      </c>
      <c r="AQ66" s="46">
        <f t="shared" si="65"/>
        <v>143530.62</v>
      </c>
      <c r="AR66" s="46">
        <f t="shared" si="65"/>
        <v>0</v>
      </c>
      <c r="AS66" s="46">
        <f t="shared" si="65"/>
        <v>0</v>
      </c>
      <c r="AT66" s="46">
        <f t="shared" si="65"/>
        <v>0</v>
      </c>
      <c r="AU66" s="47">
        <f>SUM(AC66:$AT$66)</f>
        <v>3014143.0500000003</v>
      </c>
      <c r="AV66" s="46" t="e">
        <f>(-#REF!+AV50)*AV$89</f>
        <v>#REF!</v>
      </c>
      <c r="AW66" s="46" t="e">
        <f t="shared" ref="AW66:BQ66" si="90">(-AV82+AW50)*AW$89</f>
        <v>#REF!</v>
      </c>
      <c r="AX66" s="46" t="e">
        <f t="shared" si="90"/>
        <v>#REF!</v>
      </c>
      <c r="AY66" s="46" t="e">
        <f t="shared" si="90"/>
        <v>#REF!</v>
      </c>
      <c r="AZ66" s="46" t="e">
        <f t="shared" si="90"/>
        <v>#REF!</v>
      </c>
      <c r="BA66" s="46" t="e">
        <f t="shared" si="90"/>
        <v>#REF!</v>
      </c>
      <c r="BB66" s="46" t="e">
        <f t="shared" si="90"/>
        <v>#REF!</v>
      </c>
      <c r="BC66" s="46" t="e">
        <f t="shared" si="90"/>
        <v>#REF!</v>
      </c>
      <c r="BD66" s="46" t="e">
        <f t="shared" si="90"/>
        <v>#REF!</v>
      </c>
      <c r="BE66" s="46" t="e">
        <f t="shared" si="90"/>
        <v>#REF!</v>
      </c>
      <c r="BF66" s="46" t="e">
        <f t="shared" si="90"/>
        <v>#REF!</v>
      </c>
      <c r="BG66" s="46" t="e">
        <f t="shared" si="90"/>
        <v>#REF!</v>
      </c>
      <c r="BH66" s="46" t="e">
        <f t="shared" si="90"/>
        <v>#REF!</v>
      </c>
      <c r="BI66" s="46" t="e">
        <f t="shared" si="90"/>
        <v>#REF!</v>
      </c>
      <c r="BJ66" s="46" t="e">
        <f t="shared" si="90"/>
        <v>#REF!</v>
      </c>
      <c r="BK66" s="46" t="e">
        <f t="shared" si="90"/>
        <v>#REF!</v>
      </c>
      <c r="BL66" s="46" t="e">
        <f t="shared" si="90"/>
        <v>#REF!</v>
      </c>
      <c r="BM66" s="46" t="e">
        <f t="shared" si="90"/>
        <v>#REF!</v>
      </c>
      <c r="BN66" s="46" t="e">
        <f t="shared" si="90"/>
        <v>#REF!</v>
      </c>
      <c r="BO66" s="46" t="e">
        <f t="shared" si="90"/>
        <v>#REF!</v>
      </c>
      <c r="BP66" s="46" t="e">
        <f t="shared" si="90"/>
        <v>#REF!</v>
      </c>
      <c r="BQ66" s="45" t="e">
        <f t="shared" si="90"/>
        <v>#REF!</v>
      </c>
      <c r="BR66" s="44" t="e">
        <f>SUM(#REF!)</f>
        <v>#REF!</v>
      </c>
      <c r="BS66" s="43"/>
      <c r="BT66" s="46" t="e">
        <f t="shared" si="67"/>
        <v>#REF!</v>
      </c>
      <c r="BU66" s="46" t="e">
        <f t="shared" ref="BU66:CO66" si="91">(-BT82+BU50)*BU$89</f>
        <v>#REF!</v>
      </c>
      <c r="BV66" s="46" t="e">
        <f t="shared" si="91"/>
        <v>#REF!</v>
      </c>
      <c r="BW66" s="46" t="e">
        <f t="shared" si="91"/>
        <v>#REF!</v>
      </c>
      <c r="BX66" s="46" t="e">
        <f t="shared" si="91"/>
        <v>#REF!</v>
      </c>
      <c r="BY66" s="46" t="e">
        <f t="shared" si="91"/>
        <v>#REF!</v>
      </c>
      <c r="BZ66" s="46" t="e">
        <f t="shared" si="91"/>
        <v>#REF!</v>
      </c>
      <c r="CA66" s="46" t="e">
        <f t="shared" si="91"/>
        <v>#REF!</v>
      </c>
      <c r="CB66" s="46" t="e">
        <f t="shared" si="91"/>
        <v>#REF!</v>
      </c>
      <c r="CC66" s="46" t="e">
        <f t="shared" si="91"/>
        <v>#REF!</v>
      </c>
      <c r="CD66" s="46" t="e">
        <f t="shared" si="91"/>
        <v>#REF!</v>
      </c>
      <c r="CE66" s="46" t="e">
        <f t="shared" si="91"/>
        <v>#REF!</v>
      </c>
      <c r="CF66" s="46" t="e">
        <f t="shared" si="91"/>
        <v>#REF!</v>
      </c>
      <c r="CG66" s="46" t="e">
        <f t="shared" si="91"/>
        <v>#REF!</v>
      </c>
      <c r="CH66" s="46" t="e">
        <f t="shared" si="91"/>
        <v>#REF!</v>
      </c>
      <c r="CI66" s="46" t="e">
        <f t="shared" si="91"/>
        <v>#REF!</v>
      </c>
      <c r="CJ66" s="46" t="e">
        <f t="shared" si="91"/>
        <v>#REF!</v>
      </c>
      <c r="CK66" s="46" t="e">
        <f t="shared" si="91"/>
        <v>#REF!</v>
      </c>
      <c r="CL66" s="46" t="e">
        <f t="shared" si="91"/>
        <v>#REF!</v>
      </c>
      <c r="CM66" s="46" t="e">
        <f t="shared" si="91"/>
        <v>#REF!</v>
      </c>
      <c r="CN66" s="46" t="e">
        <f t="shared" si="91"/>
        <v>#REF!</v>
      </c>
      <c r="CO66" s="45" t="e">
        <f t="shared" si="91"/>
        <v>#REF!</v>
      </c>
      <c r="CP66" s="44">
        <f>SUM(K66:$Z$66)</f>
        <v>3157673.67</v>
      </c>
      <c r="CQ66" s="43"/>
      <c r="CR66" s="46" t="e">
        <f t="shared" si="69"/>
        <v>#REF!</v>
      </c>
      <c r="CS66" s="46" t="e">
        <f t="shared" ref="CS66:DL66" si="92">(-CR82+CS50)*CS$89</f>
        <v>#REF!</v>
      </c>
      <c r="CT66" s="46" t="e">
        <f t="shared" si="92"/>
        <v>#REF!</v>
      </c>
      <c r="CU66" s="46" t="e">
        <f t="shared" si="92"/>
        <v>#REF!</v>
      </c>
      <c r="CV66" s="46" t="e">
        <f t="shared" si="92"/>
        <v>#REF!</v>
      </c>
      <c r="CW66" s="46" t="e">
        <f t="shared" si="92"/>
        <v>#REF!</v>
      </c>
      <c r="CX66" s="46" t="e">
        <f t="shared" si="92"/>
        <v>#REF!</v>
      </c>
      <c r="CY66" s="46" t="e">
        <f t="shared" si="92"/>
        <v>#REF!</v>
      </c>
      <c r="CZ66" s="46" t="e">
        <f t="shared" si="92"/>
        <v>#REF!</v>
      </c>
      <c r="DA66" s="46" t="e">
        <f t="shared" si="92"/>
        <v>#REF!</v>
      </c>
      <c r="DB66" s="46" t="e">
        <f t="shared" si="92"/>
        <v>#REF!</v>
      </c>
      <c r="DC66" s="46" t="e">
        <f t="shared" si="92"/>
        <v>#REF!</v>
      </c>
      <c r="DD66" s="46" t="e">
        <f t="shared" si="92"/>
        <v>#REF!</v>
      </c>
      <c r="DE66" s="46" t="e">
        <f t="shared" si="92"/>
        <v>#REF!</v>
      </c>
      <c r="DF66" s="46" t="e">
        <f t="shared" si="92"/>
        <v>#REF!</v>
      </c>
      <c r="DG66" s="46" t="e">
        <f t="shared" si="92"/>
        <v>#REF!</v>
      </c>
      <c r="DH66" s="46" t="e">
        <f t="shared" si="92"/>
        <v>#REF!</v>
      </c>
      <c r="DI66" s="46" t="e">
        <f t="shared" si="92"/>
        <v>#REF!</v>
      </c>
      <c r="DJ66" s="46" t="e">
        <f t="shared" si="92"/>
        <v>#REF!</v>
      </c>
      <c r="DK66" s="46" t="e">
        <f t="shared" si="92"/>
        <v>#REF!</v>
      </c>
      <c r="DL66" s="45" t="e">
        <f t="shared" si="92"/>
        <v>#REF!</v>
      </c>
      <c r="DM66" s="44">
        <f>SUM(M66:$Z$66)</f>
        <v>3157673.67</v>
      </c>
      <c r="DN66" s="43"/>
      <c r="DO66" s="46" t="e">
        <f t="shared" si="71"/>
        <v>#REF!</v>
      </c>
      <c r="DP66" s="46" t="e">
        <f t="shared" ref="DP66:EJ66" si="93">(-DO82+DP50)*DP$89</f>
        <v>#REF!</v>
      </c>
      <c r="DQ66" s="46" t="e">
        <f t="shared" si="93"/>
        <v>#REF!</v>
      </c>
      <c r="DR66" s="46" t="e">
        <f t="shared" si="93"/>
        <v>#REF!</v>
      </c>
      <c r="DS66" s="46" t="e">
        <f t="shared" si="93"/>
        <v>#REF!</v>
      </c>
      <c r="DT66" s="46" t="e">
        <f t="shared" si="93"/>
        <v>#REF!</v>
      </c>
      <c r="DU66" s="46" t="e">
        <f t="shared" si="93"/>
        <v>#REF!</v>
      </c>
      <c r="DV66" s="46" t="e">
        <f t="shared" si="93"/>
        <v>#REF!</v>
      </c>
      <c r="DW66" s="46" t="e">
        <f t="shared" si="93"/>
        <v>#REF!</v>
      </c>
      <c r="DX66" s="46" t="e">
        <f t="shared" si="93"/>
        <v>#REF!</v>
      </c>
      <c r="DY66" s="46" t="e">
        <f t="shared" si="93"/>
        <v>#REF!</v>
      </c>
      <c r="DZ66" s="46" t="e">
        <f t="shared" si="93"/>
        <v>#REF!</v>
      </c>
      <c r="EA66" s="46" t="e">
        <f t="shared" si="93"/>
        <v>#REF!</v>
      </c>
      <c r="EB66" s="46" t="e">
        <f t="shared" si="93"/>
        <v>#REF!</v>
      </c>
      <c r="EC66" s="46" t="e">
        <f t="shared" si="93"/>
        <v>#REF!</v>
      </c>
      <c r="ED66" s="46" t="e">
        <f t="shared" si="93"/>
        <v>#REF!</v>
      </c>
      <c r="EE66" s="46" t="e">
        <f t="shared" si="93"/>
        <v>#REF!</v>
      </c>
      <c r="EF66" s="46" t="e">
        <f t="shared" si="93"/>
        <v>#REF!</v>
      </c>
      <c r="EG66" s="46" t="e">
        <f t="shared" si="93"/>
        <v>#REF!</v>
      </c>
      <c r="EH66" s="46" t="e">
        <f t="shared" si="93"/>
        <v>#REF!</v>
      </c>
      <c r="EI66" s="46" t="e">
        <f t="shared" si="93"/>
        <v>#REF!</v>
      </c>
      <c r="EJ66" s="45" t="e">
        <f t="shared" si="93"/>
        <v>#REF!</v>
      </c>
      <c r="EK66" s="44">
        <f>SUM(O66:$Z$66)</f>
        <v>3157673.67</v>
      </c>
      <c r="EL66" s="43"/>
      <c r="EN66" s="21"/>
    </row>
    <row r="67" spans="1:144" s="13" customFormat="1" ht="25" customHeight="1">
      <c r="A67" s="24"/>
      <c r="B67" s="11"/>
      <c r="C67" s="49" t="s">
        <v>1</v>
      </c>
      <c r="D67" s="47"/>
      <c r="E67" s="46">
        <f t="shared" si="89"/>
        <v>0</v>
      </c>
      <c r="F67" s="46">
        <f t="shared" si="89"/>
        <v>0</v>
      </c>
      <c r="G67" s="46">
        <f t="shared" si="89"/>
        <v>0</v>
      </c>
      <c r="H67" s="46">
        <f t="shared" si="89"/>
        <v>0</v>
      </c>
      <c r="I67" s="46">
        <f t="shared" si="62"/>
        <v>0</v>
      </c>
      <c r="J67" s="46">
        <f t="shared" si="62"/>
        <v>0</v>
      </c>
      <c r="K67" s="46">
        <f t="shared" si="62"/>
        <v>0</v>
      </c>
      <c r="L67" s="46">
        <f t="shared" si="62"/>
        <v>2623.61</v>
      </c>
      <c r="M67" s="46">
        <f t="shared" si="62"/>
        <v>0</v>
      </c>
      <c r="N67" s="46">
        <f t="shared" si="62"/>
        <v>159855.54999999999</v>
      </c>
      <c r="O67" s="46">
        <f t="shared" si="62"/>
        <v>0</v>
      </c>
      <c r="P67" s="46">
        <v>19410.849999999999</v>
      </c>
      <c r="Q67" s="46">
        <v>18484.03</v>
      </c>
      <c r="R67" s="46">
        <v>4766.32</v>
      </c>
      <c r="S67" s="46">
        <f>(-R83+S51)*S$89</f>
        <v>0</v>
      </c>
      <c r="T67" s="46">
        <f>(-S83+T51)*T$89</f>
        <v>0</v>
      </c>
      <c r="U67" s="46">
        <f t="shared" si="63"/>
        <v>0</v>
      </c>
      <c r="V67" s="46">
        <f t="shared" si="63"/>
        <v>0</v>
      </c>
      <c r="W67" s="46">
        <f t="shared" si="63"/>
        <v>0</v>
      </c>
      <c r="X67" s="46">
        <f t="shared" si="63"/>
        <v>0</v>
      </c>
      <c r="Z67" s="45">
        <f t="shared" si="64"/>
        <v>185563.41999999998</v>
      </c>
      <c r="AA67" s="47">
        <f>SUM(E67:$Z$67)-Y67</f>
        <v>390703.77999999997</v>
      </c>
      <c r="AB67" s="43"/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111230</v>
      </c>
      <c r="AL67" s="46">
        <v>196673.84999999998</v>
      </c>
      <c r="AM67" s="46">
        <f t="shared" si="65"/>
        <v>0</v>
      </c>
      <c r="AN67" s="46">
        <f t="shared" si="65"/>
        <v>0</v>
      </c>
      <c r="AO67" s="46">
        <f t="shared" si="65"/>
        <v>0</v>
      </c>
      <c r="AP67" s="46">
        <f t="shared" si="65"/>
        <v>0</v>
      </c>
      <c r="AQ67" s="46">
        <f t="shared" si="65"/>
        <v>0</v>
      </c>
      <c r="AR67" s="46">
        <f t="shared" si="65"/>
        <v>0</v>
      </c>
      <c r="AS67" s="46">
        <f t="shared" si="65"/>
        <v>0</v>
      </c>
      <c r="AT67" s="46">
        <f t="shared" si="65"/>
        <v>206802.71</v>
      </c>
      <c r="AU67" s="47">
        <f>SUM(AC67:$AT$67)</f>
        <v>514706.55999999994</v>
      </c>
      <c r="AV67" s="46" t="e">
        <f>(-#REF!+AV51)*AV$89</f>
        <v>#REF!</v>
      </c>
      <c r="AW67" s="46" t="e">
        <f t="shared" ref="AW67:BQ67" si="94">(-AV83+AW51)*AW$89</f>
        <v>#REF!</v>
      </c>
      <c r="AX67" s="46" t="e">
        <f t="shared" si="94"/>
        <v>#REF!</v>
      </c>
      <c r="AY67" s="46" t="e">
        <f t="shared" si="94"/>
        <v>#REF!</v>
      </c>
      <c r="AZ67" s="46" t="e">
        <f t="shared" si="94"/>
        <v>#REF!</v>
      </c>
      <c r="BA67" s="46" t="e">
        <f t="shared" si="94"/>
        <v>#REF!</v>
      </c>
      <c r="BB67" s="46" t="e">
        <f t="shared" si="94"/>
        <v>#REF!</v>
      </c>
      <c r="BC67" s="46" t="e">
        <f t="shared" si="94"/>
        <v>#REF!</v>
      </c>
      <c r="BD67" s="46" t="e">
        <f t="shared" si="94"/>
        <v>#REF!</v>
      </c>
      <c r="BE67" s="46" t="e">
        <f t="shared" si="94"/>
        <v>#REF!</v>
      </c>
      <c r="BF67" s="46" t="e">
        <f t="shared" si="94"/>
        <v>#REF!</v>
      </c>
      <c r="BG67" s="46" t="e">
        <f t="shared" si="94"/>
        <v>#REF!</v>
      </c>
      <c r="BH67" s="46" t="e">
        <f t="shared" si="94"/>
        <v>#REF!</v>
      </c>
      <c r="BI67" s="46" t="e">
        <f t="shared" si="94"/>
        <v>#REF!</v>
      </c>
      <c r="BJ67" s="46" t="e">
        <f t="shared" si="94"/>
        <v>#REF!</v>
      </c>
      <c r="BK67" s="46" t="e">
        <f t="shared" si="94"/>
        <v>#REF!</v>
      </c>
      <c r="BL67" s="46" t="e">
        <f t="shared" si="94"/>
        <v>#REF!</v>
      </c>
      <c r="BM67" s="46" t="e">
        <f t="shared" si="94"/>
        <v>#REF!</v>
      </c>
      <c r="BN67" s="46" t="e">
        <f t="shared" si="94"/>
        <v>#REF!</v>
      </c>
      <c r="BO67" s="46" t="e">
        <f t="shared" si="94"/>
        <v>#REF!</v>
      </c>
      <c r="BP67" s="46" t="e">
        <f t="shared" si="94"/>
        <v>#REF!</v>
      </c>
      <c r="BQ67" s="45" t="e">
        <f t="shared" si="94"/>
        <v>#REF!</v>
      </c>
      <c r="BR67" s="44" t="e">
        <f>SUM(#REF!)</f>
        <v>#REF!</v>
      </c>
      <c r="BS67" s="43"/>
      <c r="BT67" s="46" t="e">
        <f t="shared" si="67"/>
        <v>#REF!</v>
      </c>
      <c r="BU67" s="46" t="e">
        <f t="shared" ref="BU67:CO67" si="95">(-BT83+BU51)*BU$89</f>
        <v>#REF!</v>
      </c>
      <c r="BV67" s="46" t="e">
        <f t="shared" si="95"/>
        <v>#REF!</v>
      </c>
      <c r="BW67" s="46" t="e">
        <f t="shared" si="95"/>
        <v>#REF!</v>
      </c>
      <c r="BX67" s="46" t="e">
        <f t="shared" si="95"/>
        <v>#REF!</v>
      </c>
      <c r="BY67" s="46" t="e">
        <f t="shared" si="95"/>
        <v>#REF!</v>
      </c>
      <c r="BZ67" s="46" t="e">
        <f t="shared" si="95"/>
        <v>#REF!</v>
      </c>
      <c r="CA67" s="46" t="e">
        <f t="shared" si="95"/>
        <v>#REF!</v>
      </c>
      <c r="CB67" s="46" t="e">
        <f t="shared" si="95"/>
        <v>#REF!</v>
      </c>
      <c r="CC67" s="46" t="e">
        <f t="shared" si="95"/>
        <v>#REF!</v>
      </c>
      <c r="CD67" s="46" t="e">
        <f t="shared" si="95"/>
        <v>#REF!</v>
      </c>
      <c r="CE67" s="46" t="e">
        <f t="shared" si="95"/>
        <v>#REF!</v>
      </c>
      <c r="CF67" s="46" t="e">
        <f t="shared" si="95"/>
        <v>#REF!</v>
      </c>
      <c r="CG67" s="46" t="e">
        <f t="shared" si="95"/>
        <v>#REF!</v>
      </c>
      <c r="CH67" s="46" t="e">
        <f t="shared" si="95"/>
        <v>#REF!</v>
      </c>
      <c r="CI67" s="46" t="e">
        <f t="shared" si="95"/>
        <v>#REF!</v>
      </c>
      <c r="CJ67" s="46" t="e">
        <f t="shared" si="95"/>
        <v>#REF!</v>
      </c>
      <c r="CK67" s="46" t="e">
        <f t="shared" si="95"/>
        <v>#REF!</v>
      </c>
      <c r="CL67" s="46" t="e">
        <f t="shared" si="95"/>
        <v>#REF!</v>
      </c>
      <c r="CM67" s="46" t="e">
        <f t="shared" si="95"/>
        <v>#REF!</v>
      </c>
      <c r="CN67" s="46" t="e">
        <f t="shared" si="95"/>
        <v>#REF!</v>
      </c>
      <c r="CO67" s="45" t="e">
        <f t="shared" si="95"/>
        <v>#REF!</v>
      </c>
      <c r="CP67" s="44">
        <f>SUM(K67:$Z$67)</f>
        <v>390703.77999999997</v>
      </c>
      <c r="CQ67" s="43"/>
      <c r="CR67" s="46" t="e">
        <f t="shared" si="69"/>
        <v>#REF!</v>
      </c>
      <c r="CS67" s="46" t="e">
        <f t="shared" ref="CS67:DL67" si="96">(-CR83+CS51)*CS$89</f>
        <v>#REF!</v>
      </c>
      <c r="CT67" s="46" t="e">
        <f t="shared" si="96"/>
        <v>#REF!</v>
      </c>
      <c r="CU67" s="46" t="e">
        <f t="shared" si="96"/>
        <v>#REF!</v>
      </c>
      <c r="CV67" s="46" t="e">
        <f t="shared" si="96"/>
        <v>#REF!</v>
      </c>
      <c r="CW67" s="46" t="e">
        <f t="shared" si="96"/>
        <v>#REF!</v>
      </c>
      <c r="CX67" s="46" t="e">
        <f t="shared" si="96"/>
        <v>#REF!</v>
      </c>
      <c r="CY67" s="46" t="e">
        <f t="shared" si="96"/>
        <v>#REF!</v>
      </c>
      <c r="CZ67" s="46" t="e">
        <f t="shared" si="96"/>
        <v>#REF!</v>
      </c>
      <c r="DA67" s="46" t="e">
        <f t="shared" si="96"/>
        <v>#REF!</v>
      </c>
      <c r="DB67" s="46" t="e">
        <f t="shared" si="96"/>
        <v>#REF!</v>
      </c>
      <c r="DC67" s="46" t="e">
        <f t="shared" si="96"/>
        <v>#REF!</v>
      </c>
      <c r="DD67" s="46" t="e">
        <f t="shared" si="96"/>
        <v>#REF!</v>
      </c>
      <c r="DE67" s="46" t="e">
        <f t="shared" si="96"/>
        <v>#REF!</v>
      </c>
      <c r="DF67" s="46" t="e">
        <f t="shared" si="96"/>
        <v>#REF!</v>
      </c>
      <c r="DG67" s="46" t="e">
        <f t="shared" si="96"/>
        <v>#REF!</v>
      </c>
      <c r="DH67" s="46" t="e">
        <f t="shared" si="96"/>
        <v>#REF!</v>
      </c>
      <c r="DI67" s="46" t="e">
        <f t="shared" si="96"/>
        <v>#REF!</v>
      </c>
      <c r="DJ67" s="46" t="e">
        <f t="shared" si="96"/>
        <v>#REF!</v>
      </c>
      <c r="DK67" s="46" t="e">
        <f t="shared" si="96"/>
        <v>#REF!</v>
      </c>
      <c r="DL67" s="45" t="e">
        <f t="shared" si="96"/>
        <v>#REF!</v>
      </c>
      <c r="DM67" s="44">
        <f>SUM(M67:$Z$67)</f>
        <v>388080.17</v>
      </c>
      <c r="DN67" s="43"/>
      <c r="DO67" s="46" t="e">
        <f t="shared" si="71"/>
        <v>#REF!</v>
      </c>
      <c r="DP67" s="46" t="e">
        <f t="shared" ref="DP67:EJ67" si="97">(-DO83+DP51)*DP$89</f>
        <v>#REF!</v>
      </c>
      <c r="DQ67" s="46" t="e">
        <f t="shared" si="97"/>
        <v>#REF!</v>
      </c>
      <c r="DR67" s="46" t="e">
        <f t="shared" si="97"/>
        <v>#REF!</v>
      </c>
      <c r="DS67" s="46" t="e">
        <f t="shared" si="97"/>
        <v>#REF!</v>
      </c>
      <c r="DT67" s="46" t="e">
        <f t="shared" si="97"/>
        <v>#REF!</v>
      </c>
      <c r="DU67" s="46" t="e">
        <f t="shared" si="97"/>
        <v>#REF!</v>
      </c>
      <c r="DV67" s="46" t="e">
        <f t="shared" si="97"/>
        <v>#REF!</v>
      </c>
      <c r="DW67" s="46" t="e">
        <f t="shared" si="97"/>
        <v>#REF!</v>
      </c>
      <c r="DX67" s="46" t="e">
        <f t="shared" si="97"/>
        <v>#REF!</v>
      </c>
      <c r="DY67" s="46" t="e">
        <f t="shared" si="97"/>
        <v>#REF!</v>
      </c>
      <c r="DZ67" s="46" t="e">
        <f t="shared" si="97"/>
        <v>#REF!</v>
      </c>
      <c r="EA67" s="46" t="e">
        <f t="shared" si="97"/>
        <v>#REF!</v>
      </c>
      <c r="EB67" s="46" t="e">
        <f t="shared" si="97"/>
        <v>#REF!</v>
      </c>
      <c r="EC67" s="46" t="e">
        <f t="shared" si="97"/>
        <v>#REF!</v>
      </c>
      <c r="ED67" s="46" t="e">
        <f t="shared" si="97"/>
        <v>#REF!</v>
      </c>
      <c r="EE67" s="46" t="e">
        <f t="shared" si="97"/>
        <v>#REF!</v>
      </c>
      <c r="EF67" s="46" t="e">
        <f t="shared" si="97"/>
        <v>#REF!</v>
      </c>
      <c r="EG67" s="46" t="e">
        <f t="shared" si="97"/>
        <v>#REF!</v>
      </c>
      <c r="EH67" s="46" t="e">
        <f t="shared" si="97"/>
        <v>#REF!</v>
      </c>
      <c r="EI67" s="46" t="e">
        <f t="shared" si="97"/>
        <v>#REF!</v>
      </c>
      <c r="EJ67" s="45" t="e">
        <f t="shared" si="97"/>
        <v>#REF!</v>
      </c>
      <c r="EK67" s="44">
        <f>SUM(O67:$Z$67)</f>
        <v>228224.62</v>
      </c>
      <c r="EL67" s="43"/>
      <c r="EN67" s="21"/>
    </row>
    <row r="68" spans="1:144" s="13" customFormat="1" ht="25" customHeight="1">
      <c r="A68" s="24"/>
      <c r="B68" s="11"/>
      <c r="C68" s="55" t="s">
        <v>15</v>
      </c>
      <c r="D68" s="54"/>
      <c r="E68" s="53">
        <f t="shared" ref="E68:X68" si="98">+E52</f>
        <v>26980.080000000002</v>
      </c>
      <c r="F68" s="53">
        <f t="shared" si="98"/>
        <v>0</v>
      </c>
      <c r="G68" s="53">
        <f t="shared" si="98"/>
        <v>0</v>
      </c>
      <c r="H68" s="53">
        <f t="shared" si="98"/>
        <v>0</v>
      </c>
      <c r="I68" s="53">
        <f t="shared" si="98"/>
        <v>0</v>
      </c>
      <c r="J68" s="53">
        <f t="shared" si="98"/>
        <v>0</v>
      </c>
      <c r="K68" s="53">
        <f t="shared" si="98"/>
        <v>0</v>
      </c>
      <c r="L68" s="53">
        <f t="shared" si="98"/>
        <v>0</v>
      </c>
      <c r="M68" s="53">
        <f t="shared" si="98"/>
        <v>0</v>
      </c>
      <c r="N68" s="53">
        <f t="shared" si="98"/>
        <v>0</v>
      </c>
      <c r="O68" s="53">
        <f t="shared" si="98"/>
        <v>0</v>
      </c>
      <c r="P68" s="53">
        <f t="shared" si="98"/>
        <v>0</v>
      </c>
      <c r="Q68" s="53">
        <f t="shared" si="98"/>
        <v>0</v>
      </c>
      <c r="R68" s="53">
        <f t="shared" si="98"/>
        <v>0</v>
      </c>
      <c r="S68" s="53">
        <f t="shared" si="98"/>
        <v>0</v>
      </c>
      <c r="T68" s="53">
        <f t="shared" si="98"/>
        <v>0</v>
      </c>
      <c r="U68" s="53">
        <f t="shared" si="98"/>
        <v>0</v>
      </c>
      <c r="V68" s="53">
        <f t="shared" si="98"/>
        <v>0</v>
      </c>
      <c r="W68" s="53">
        <f t="shared" si="98"/>
        <v>0</v>
      </c>
      <c r="X68" s="53">
        <f t="shared" si="98"/>
        <v>0</v>
      </c>
      <c r="Z68" s="52">
        <f>+Z52</f>
        <v>0</v>
      </c>
      <c r="AA68" s="54">
        <f>SUM(E68:$Z$68)-Y68</f>
        <v>26980.080000000002</v>
      </c>
      <c r="AB68" s="50"/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f t="shared" ref="AM68:AT70" si="99">+AM52</f>
        <v>0</v>
      </c>
      <c r="AN68" s="53">
        <f t="shared" si="99"/>
        <v>0</v>
      </c>
      <c r="AO68" s="53">
        <f t="shared" si="99"/>
        <v>0</v>
      </c>
      <c r="AP68" s="53">
        <f t="shared" si="99"/>
        <v>26244.280000000002</v>
      </c>
      <c r="AQ68" s="53">
        <f t="shared" si="99"/>
        <v>347039.02</v>
      </c>
      <c r="AR68" s="53">
        <f t="shared" si="99"/>
        <v>0</v>
      </c>
      <c r="AS68" s="53">
        <f t="shared" si="99"/>
        <v>0</v>
      </c>
      <c r="AT68" s="53">
        <f t="shared" si="99"/>
        <v>0</v>
      </c>
      <c r="AU68" s="54">
        <f>SUM(AC68:$AT$68)</f>
        <v>373283.30000000005</v>
      </c>
      <c r="AV68" s="53">
        <f t="shared" ref="AV68:BQ68" si="100">+AV52</f>
        <v>0</v>
      </c>
      <c r="AW68" s="53">
        <f t="shared" si="100"/>
        <v>0</v>
      </c>
      <c r="AX68" s="53">
        <f t="shared" si="100"/>
        <v>0</v>
      </c>
      <c r="AY68" s="53">
        <f t="shared" si="100"/>
        <v>0</v>
      </c>
      <c r="AZ68" s="53">
        <f t="shared" si="100"/>
        <v>0</v>
      </c>
      <c r="BA68" s="53">
        <f t="shared" si="100"/>
        <v>0</v>
      </c>
      <c r="BB68" s="53">
        <f t="shared" si="100"/>
        <v>0</v>
      </c>
      <c r="BC68" s="53">
        <f t="shared" si="100"/>
        <v>0</v>
      </c>
      <c r="BD68" s="53">
        <f t="shared" si="100"/>
        <v>0</v>
      </c>
      <c r="BE68" s="53">
        <f t="shared" si="100"/>
        <v>0</v>
      </c>
      <c r="BF68" s="53">
        <f t="shared" si="100"/>
        <v>0</v>
      </c>
      <c r="BG68" s="53">
        <f t="shared" si="100"/>
        <v>0</v>
      </c>
      <c r="BH68" s="53">
        <f t="shared" si="100"/>
        <v>0</v>
      </c>
      <c r="BI68" s="53">
        <f t="shared" si="100"/>
        <v>0</v>
      </c>
      <c r="BJ68" s="53">
        <f t="shared" si="100"/>
        <v>0</v>
      </c>
      <c r="BK68" s="53">
        <f t="shared" si="100"/>
        <v>0</v>
      </c>
      <c r="BL68" s="53">
        <f t="shared" si="100"/>
        <v>0</v>
      </c>
      <c r="BM68" s="53">
        <f t="shared" si="100"/>
        <v>0</v>
      </c>
      <c r="BN68" s="53">
        <f t="shared" si="100"/>
        <v>0</v>
      </c>
      <c r="BO68" s="53">
        <f t="shared" si="100"/>
        <v>0</v>
      </c>
      <c r="BP68" s="53">
        <f t="shared" si="100"/>
        <v>0</v>
      </c>
      <c r="BQ68" s="52">
        <f t="shared" si="100"/>
        <v>0</v>
      </c>
      <c r="BR68" s="51" t="e">
        <f>SUM(#REF!)</f>
        <v>#REF!</v>
      </c>
      <c r="BS68" s="50"/>
      <c r="BT68" s="53">
        <f t="shared" ref="BT68:CO68" si="101">+BT52</f>
        <v>0</v>
      </c>
      <c r="BU68" s="53">
        <f t="shared" si="101"/>
        <v>0</v>
      </c>
      <c r="BV68" s="53">
        <f t="shared" si="101"/>
        <v>0</v>
      </c>
      <c r="BW68" s="53">
        <f t="shared" si="101"/>
        <v>0</v>
      </c>
      <c r="BX68" s="53">
        <f t="shared" si="101"/>
        <v>0</v>
      </c>
      <c r="BY68" s="53">
        <f t="shared" si="101"/>
        <v>0</v>
      </c>
      <c r="BZ68" s="53">
        <f t="shared" si="101"/>
        <v>0</v>
      </c>
      <c r="CA68" s="53">
        <f t="shared" si="101"/>
        <v>0</v>
      </c>
      <c r="CB68" s="53">
        <f t="shared" si="101"/>
        <v>0</v>
      </c>
      <c r="CC68" s="53">
        <f t="shared" si="101"/>
        <v>0</v>
      </c>
      <c r="CD68" s="53">
        <f t="shared" si="101"/>
        <v>0</v>
      </c>
      <c r="CE68" s="53">
        <f t="shared" si="101"/>
        <v>0</v>
      </c>
      <c r="CF68" s="53">
        <f t="shared" si="101"/>
        <v>0</v>
      </c>
      <c r="CG68" s="53">
        <f t="shared" si="101"/>
        <v>0</v>
      </c>
      <c r="CH68" s="53">
        <f t="shared" si="101"/>
        <v>0</v>
      </c>
      <c r="CI68" s="53">
        <f t="shared" si="101"/>
        <v>0</v>
      </c>
      <c r="CJ68" s="53">
        <f t="shared" si="101"/>
        <v>0</v>
      </c>
      <c r="CK68" s="53">
        <f t="shared" si="101"/>
        <v>0</v>
      </c>
      <c r="CL68" s="53">
        <f t="shared" si="101"/>
        <v>0</v>
      </c>
      <c r="CM68" s="53">
        <f t="shared" si="101"/>
        <v>0</v>
      </c>
      <c r="CN68" s="53">
        <f t="shared" si="101"/>
        <v>0</v>
      </c>
      <c r="CO68" s="52">
        <f t="shared" si="101"/>
        <v>0</v>
      </c>
      <c r="CP68" s="51">
        <f>SUM(K68:$Z$68)</f>
        <v>0</v>
      </c>
      <c r="CQ68" s="50"/>
      <c r="CR68" s="53">
        <f t="shared" ref="CR68:DL68" si="102">+CR52</f>
        <v>0</v>
      </c>
      <c r="CS68" s="53">
        <f t="shared" si="102"/>
        <v>0</v>
      </c>
      <c r="CT68" s="53">
        <f t="shared" si="102"/>
        <v>0</v>
      </c>
      <c r="CU68" s="53">
        <f t="shared" si="102"/>
        <v>0</v>
      </c>
      <c r="CV68" s="53">
        <f t="shared" si="102"/>
        <v>0</v>
      </c>
      <c r="CW68" s="53">
        <f t="shared" si="102"/>
        <v>0</v>
      </c>
      <c r="CX68" s="53">
        <f t="shared" si="102"/>
        <v>0</v>
      </c>
      <c r="CY68" s="53">
        <f t="shared" si="102"/>
        <v>0</v>
      </c>
      <c r="CZ68" s="53">
        <f t="shared" si="102"/>
        <v>0</v>
      </c>
      <c r="DA68" s="53">
        <f t="shared" si="102"/>
        <v>0</v>
      </c>
      <c r="DB68" s="53">
        <f t="shared" si="102"/>
        <v>0</v>
      </c>
      <c r="DC68" s="53">
        <f t="shared" si="102"/>
        <v>0</v>
      </c>
      <c r="DD68" s="53">
        <f t="shared" si="102"/>
        <v>0</v>
      </c>
      <c r="DE68" s="53">
        <f t="shared" si="102"/>
        <v>0</v>
      </c>
      <c r="DF68" s="53">
        <f t="shared" si="102"/>
        <v>0</v>
      </c>
      <c r="DG68" s="53">
        <f t="shared" si="102"/>
        <v>0</v>
      </c>
      <c r="DH68" s="53">
        <f t="shared" si="102"/>
        <v>0</v>
      </c>
      <c r="DI68" s="53">
        <f t="shared" si="102"/>
        <v>0</v>
      </c>
      <c r="DJ68" s="53">
        <f t="shared" si="102"/>
        <v>0</v>
      </c>
      <c r="DK68" s="53">
        <f t="shared" si="102"/>
        <v>0</v>
      </c>
      <c r="DL68" s="52">
        <f t="shared" si="102"/>
        <v>0</v>
      </c>
      <c r="DM68" s="51">
        <f>SUM(M68:$Z$68)</f>
        <v>0</v>
      </c>
      <c r="DN68" s="50"/>
      <c r="DO68" s="53">
        <f t="shared" ref="DO68:EJ68" si="103">+DO52</f>
        <v>0</v>
      </c>
      <c r="DP68" s="53">
        <f t="shared" si="103"/>
        <v>0</v>
      </c>
      <c r="DQ68" s="53">
        <f t="shared" si="103"/>
        <v>0</v>
      </c>
      <c r="DR68" s="53">
        <f t="shared" si="103"/>
        <v>0</v>
      </c>
      <c r="DS68" s="53">
        <f t="shared" si="103"/>
        <v>0</v>
      </c>
      <c r="DT68" s="53">
        <f t="shared" si="103"/>
        <v>0</v>
      </c>
      <c r="DU68" s="53">
        <f t="shared" si="103"/>
        <v>0</v>
      </c>
      <c r="DV68" s="53">
        <f t="shared" si="103"/>
        <v>0</v>
      </c>
      <c r="DW68" s="53">
        <f t="shared" si="103"/>
        <v>0</v>
      </c>
      <c r="DX68" s="53">
        <f t="shared" si="103"/>
        <v>0</v>
      </c>
      <c r="DY68" s="53">
        <f t="shared" si="103"/>
        <v>0</v>
      </c>
      <c r="DZ68" s="53">
        <f t="shared" si="103"/>
        <v>0</v>
      </c>
      <c r="EA68" s="53">
        <f t="shared" si="103"/>
        <v>0</v>
      </c>
      <c r="EB68" s="53">
        <f t="shared" si="103"/>
        <v>0</v>
      </c>
      <c r="EC68" s="53">
        <f t="shared" si="103"/>
        <v>0</v>
      </c>
      <c r="ED68" s="53">
        <f t="shared" si="103"/>
        <v>0</v>
      </c>
      <c r="EE68" s="53">
        <f t="shared" si="103"/>
        <v>0</v>
      </c>
      <c r="EF68" s="53">
        <f t="shared" si="103"/>
        <v>0</v>
      </c>
      <c r="EG68" s="53">
        <f t="shared" si="103"/>
        <v>0</v>
      </c>
      <c r="EH68" s="53">
        <f t="shared" si="103"/>
        <v>0</v>
      </c>
      <c r="EI68" s="53">
        <f t="shared" si="103"/>
        <v>0</v>
      </c>
      <c r="EJ68" s="52">
        <f t="shared" si="103"/>
        <v>0</v>
      </c>
      <c r="EK68" s="51">
        <f>SUM(O68:$Z$68)</f>
        <v>0</v>
      </c>
      <c r="EL68" s="50"/>
      <c r="EN68" s="21"/>
    </row>
    <row r="69" spans="1:144" s="13" customFormat="1" ht="25" customHeight="1">
      <c r="A69" s="24"/>
      <c r="B69" s="11"/>
      <c r="C69" s="55" t="s">
        <v>14</v>
      </c>
      <c r="D69" s="54"/>
      <c r="E69" s="53">
        <f t="shared" ref="E69:X69" si="104">+E53</f>
        <v>72155.140000000014</v>
      </c>
      <c r="F69" s="53">
        <f t="shared" si="104"/>
        <v>45817.74</v>
      </c>
      <c r="G69" s="53">
        <f t="shared" si="104"/>
        <v>66044.87000000001</v>
      </c>
      <c r="H69" s="53">
        <f t="shared" si="104"/>
        <v>214725.41</v>
      </c>
      <c r="I69" s="53">
        <f t="shared" si="104"/>
        <v>54437.35</v>
      </c>
      <c r="J69" s="53">
        <f t="shared" si="104"/>
        <v>40821.910000000003</v>
      </c>
      <c r="K69" s="53">
        <f t="shared" si="104"/>
        <v>25607.75</v>
      </c>
      <c r="L69" s="53">
        <f t="shared" si="104"/>
        <v>34347.520000000004</v>
      </c>
      <c r="M69" s="53">
        <f t="shared" si="104"/>
        <v>58030.700000000004</v>
      </c>
      <c r="N69" s="53">
        <f t="shared" si="104"/>
        <v>39158.339999999997</v>
      </c>
      <c r="O69" s="53">
        <f t="shared" si="104"/>
        <v>32801.86</v>
      </c>
      <c r="P69" s="53">
        <f t="shared" si="104"/>
        <v>33099.47</v>
      </c>
      <c r="Q69" s="53">
        <f t="shared" si="104"/>
        <v>31382.329999999998</v>
      </c>
      <c r="R69" s="53">
        <f t="shared" si="104"/>
        <v>60357.73</v>
      </c>
      <c r="S69" s="53">
        <f t="shared" si="104"/>
        <v>36610.33</v>
      </c>
      <c r="T69" s="53">
        <f t="shared" si="104"/>
        <v>40217.399999999994</v>
      </c>
      <c r="U69" s="53">
        <f t="shared" si="104"/>
        <v>35751.65</v>
      </c>
      <c r="V69" s="53">
        <f t="shared" si="104"/>
        <v>35003.129999999997</v>
      </c>
      <c r="W69" s="53">
        <f t="shared" si="104"/>
        <v>72273.52</v>
      </c>
      <c r="X69" s="53">
        <f t="shared" si="104"/>
        <v>49383.65</v>
      </c>
      <c r="Z69" s="52">
        <f>+Z53</f>
        <v>47441.549999999996</v>
      </c>
      <c r="AA69" s="54">
        <f>SUM(E69:$Z$69)-Y69</f>
        <v>1125469.3499999999</v>
      </c>
      <c r="AB69" s="50"/>
      <c r="AC69" s="53">
        <v>49255.390000000007</v>
      </c>
      <c r="AD69" s="53">
        <v>67740.3</v>
      </c>
      <c r="AE69" s="53">
        <v>113737.77</v>
      </c>
      <c r="AF69" s="53">
        <v>70841.010000000009</v>
      </c>
      <c r="AG69" s="53">
        <v>54975.479999999996</v>
      </c>
      <c r="AH69" s="53">
        <v>49865.5</v>
      </c>
      <c r="AI69" s="53">
        <v>52833.760000000002</v>
      </c>
      <c r="AJ69" s="53">
        <v>79250.720000000016</v>
      </c>
      <c r="AK69" s="53">
        <v>49062.35</v>
      </c>
      <c r="AL69" s="53">
        <v>44416.41</v>
      </c>
      <c r="AM69" s="53">
        <f t="shared" si="99"/>
        <v>38448.630000000005</v>
      </c>
      <c r="AN69" s="53">
        <f t="shared" si="99"/>
        <v>36715.25</v>
      </c>
      <c r="AO69" s="53">
        <f t="shared" si="99"/>
        <v>60679.929999999993</v>
      </c>
      <c r="AP69" s="53">
        <f t="shared" si="99"/>
        <v>44743.479999999996</v>
      </c>
      <c r="AQ69" s="53">
        <f t="shared" si="99"/>
        <v>43634.239999999998</v>
      </c>
      <c r="AR69" s="53">
        <f t="shared" si="99"/>
        <v>83498.61</v>
      </c>
      <c r="AS69" s="53">
        <f t="shared" si="99"/>
        <v>51267.97</v>
      </c>
      <c r="AT69" s="53">
        <f t="shared" si="99"/>
        <v>47382.729999999996</v>
      </c>
      <c r="AU69" s="54">
        <f>SUM(AC69:$AT$69)</f>
        <v>1038349.5299999999</v>
      </c>
      <c r="AV69" s="53">
        <f t="shared" ref="AV69:BQ69" si="105">+AV53</f>
        <v>0</v>
      </c>
      <c r="AW69" s="53">
        <f t="shared" si="105"/>
        <v>0</v>
      </c>
      <c r="AX69" s="53">
        <f t="shared" si="105"/>
        <v>0</v>
      </c>
      <c r="AY69" s="53">
        <f t="shared" si="105"/>
        <v>0</v>
      </c>
      <c r="AZ69" s="53">
        <f t="shared" si="105"/>
        <v>0</v>
      </c>
      <c r="BA69" s="53">
        <f t="shared" si="105"/>
        <v>0</v>
      </c>
      <c r="BB69" s="53">
        <f t="shared" si="105"/>
        <v>0</v>
      </c>
      <c r="BC69" s="53">
        <f t="shared" si="105"/>
        <v>0</v>
      </c>
      <c r="BD69" s="53">
        <f t="shared" si="105"/>
        <v>0</v>
      </c>
      <c r="BE69" s="53">
        <f t="shared" si="105"/>
        <v>0</v>
      </c>
      <c r="BF69" s="53">
        <f t="shared" si="105"/>
        <v>0</v>
      </c>
      <c r="BG69" s="53">
        <f t="shared" si="105"/>
        <v>0</v>
      </c>
      <c r="BH69" s="53">
        <f t="shared" si="105"/>
        <v>0</v>
      </c>
      <c r="BI69" s="53">
        <f t="shared" si="105"/>
        <v>0</v>
      </c>
      <c r="BJ69" s="53">
        <f t="shared" si="105"/>
        <v>0</v>
      </c>
      <c r="BK69" s="53">
        <f t="shared" si="105"/>
        <v>0</v>
      </c>
      <c r="BL69" s="53">
        <f t="shared" si="105"/>
        <v>0</v>
      </c>
      <c r="BM69" s="53">
        <f t="shared" si="105"/>
        <v>0</v>
      </c>
      <c r="BN69" s="53">
        <f t="shared" si="105"/>
        <v>0</v>
      </c>
      <c r="BO69" s="53">
        <f t="shared" si="105"/>
        <v>0</v>
      </c>
      <c r="BP69" s="53">
        <f t="shared" si="105"/>
        <v>0</v>
      </c>
      <c r="BQ69" s="52">
        <f t="shared" si="105"/>
        <v>0</v>
      </c>
      <c r="BR69" s="51" t="e">
        <f>SUM(#REF!)</f>
        <v>#REF!</v>
      </c>
      <c r="BS69" s="50"/>
      <c r="BT69" s="53">
        <f t="shared" ref="BT69:CO69" si="106">+BT53</f>
        <v>0</v>
      </c>
      <c r="BU69" s="53">
        <f t="shared" si="106"/>
        <v>0</v>
      </c>
      <c r="BV69" s="53">
        <f t="shared" si="106"/>
        <v>0</v>
      </c>
      <c r="BW69" s="53">
        <f t="shared" si="106"/>
        <v>0</v>
      </c>
      <c r="BX69" s="53">
        <f t="shared" si="106"/>
        <v>0</v>
      </c>
      <c r="BY69" s="53">
        <f t="shared" si="106"/>
        <v>0</v>
      </c>
      <c r="BZ69" s="53">
        <f t="shared" si="106"/>
        <v>0</v>
      </c>
      <c r="CA69" s="53">
        <f t="shared" si="106"/>
        <v>0</v>
      </c>
      <c r="CB69" s="53">
        <f t="shared" si="106"/>
        <v>0</v>
      </c>
      <c r="CC69" s="53">
        <f t="shared" si="106"/>
        <v>0</v>
      </c>
      <c r="CD69" s="53">
        <f t="shared" si="106"/>
        <v>0</v>
      </c>
      <c r="CE69" s="53">
        <f t="shared" si="106"/>
        <v>0</v>
      </c>
      <c r="CF69" s="53">
        <f t="shared" si="106"/>
        <v>0</v>
      </c>
      <c r="CG69" s="53">
        <f t="shared" si="106"/>
        <v>0</v>
      </c>
      <c r="CH69" s="53">
        <f t="shared" si="106"/>
        <v>0</v>
      </c>
      <c r="CI69" s="53">
        <f t="shared" si="106"/>
        <v>0</v>
      </c>
      <c r="CJ69" s="53">
        <f t="shared" si="106"/>
        <v>0</v>
      </c>
      <c r="CK69" s="53">
        <f t="shared" si="106"/>
        <v>0</v>
      </c>
      <c r="CL69" s="53">
        <f t="shared" si="106"/>
        <v>0</v>
      </c>
      <c r="CM69" s="53">
        <f t="shared" si="106"/>
        <v>0</v>
      </c>
      <c r="CN69" s="53">
        <f t="shared" si="106"/>
        <v>0</v>
      </c>
      <c r="CO69" s="52">
        <f t="shared" si="106"/>
        <v>0</v>
      </c>
      <c r="CP69" s="51">
        <f>SUM(K69:$Z$69)</f>
        <v>631466.93000000005</v>
      </c>
      <c r="CQ69" s="50"/>
      <c r="CR69" s="53">
        <f t="shared" ref="CR69:DL69" si="107">+CR53</f>
        <v>0</v>
      </c>
      <c r="CS69" s="53">
        <f t="shared" si="107"/>
        <v>0</v>
      </c>
      <c r="CT69" s="53">
        <f t="shared" si="107"/>
        <v>0</v>
      </c>
      <c r="CU69" s="53">
        <f t="shared" si="107"/>
        <v>0</v>
      </c>
      <c r="CV69" s="53">
        <f t="shared" si="107"/>
        <v>0</v>
      </c>
      <c r="CW69" s="53">
        <f t="shared" si="107"/>
        <v>0</v>
      </c>
      <c r="CX69" s="53">
        <f t="shared" si="107"/>
        <v>0</v>
      </c>
      <c r="CY69" s="53">
        <f t="shared" si="107"/>
        <v>0</v>
      </c>
      <c r="CZ69" s="53">
        <f t="shared" si="107"/>
        <v>0</v>
      </c>
      <c r="DA69" s="53">
        <f t="shared" si="107"/>
        <v>0</v>
      </c>
      <c r="DB69" s="53">
        <f t="shared" si="107"/>
        <v>0</v>
      </c>
      <c r="DC69" s="53">
        <f t="shared" si="107"/>
        <v>0</v>
      </c>
      <c r="DD69" s="53">
        <f t="shared" si="107"/>
        <v>0</v>
      </c>
      <c r="DE69" s="53">
        <f t="shared" si="107"/>
        <v>0</v>
      </c>
      <c r="DF69" s="53">
        <f t="shared" si="107"/>
        <v>0</v>
      </c>
      <c r="DG69" s="53">
        <f t="shared" si="107"/>
        <v>0</v>
      </c>
      <c r="DH69" s="53">
        <f t="shared" si="107"/>
        <v>0</v>
      </c>
      <c r="DI69" s="53">
        <f t="shared" si="107"/>
        <v>0</v>
      </c>
      <c r="DJ69" s="53">
        <f t="shared" si="107"/>
        <v>0</v>
      </c>
      <c r="DK69" s="53">
        <f t="shared" si="107"/>
        <v>0</v>
      </c>
      <c r="DL69" s="52">
        <f t="shared" si="107"/>
        <v>0</v>
      </c>
      <c r="DM69" s="51">
        <f>SUM(M69:$Z$69)</f>
        <v>571511.66000000015</v>
      </c>
      <c r="DN69" s="50"/>
      <c r="DO69" s="53">
        <f t="shared" ref="DO69:EJ69" si="108">+DO53</f>
        <v>0</v>
      </c>
      <c r="DP69" s="53">
        <f t="shared" si="108"/>
        <v>0</v>
      </c>
      <c r="DQ69" s="53">
        <f t="shared" si="108"/>
        <v>0</v>
      </c>
      <c r="DR69" s="53">
        <f t="shared" si="108"/>
        <v>0</v>
      </c>
      <c r="DS69" s="53">
        <f t="shared" si="108"/>
        <v>0</v>
      </c>
      <c r="DT69" s="53">
        <f t="shared" si="108"/>
        <v>0</v>
      </c>
      <c r="DU69" s="53">
        <f t="shared" si="108"/>
        <v>0</v>
      </c>
      <c r="DV69" s="53">
        <f t="shared" si="108"/>
        <v>0</v>
      </c>
      <c r="DW69" s="53">
        <f t="shared" si="108"/>
        <v>0</v>
      </c>
      <c r="DX69" s="53">
        <f t="shared" si="108"/>
        <v>0</v>
      </c>
      <c r="DY69" s="53">
        <f t="shared" si="108"/>
        <v>0</v>
      </c>
      <c r="DZ69" s="53">
        <f t="shared" si="108"/>
        <v>0</v>
      </c>
      <c r="EA69" s="53">
        <f t="shared" si="108"/>
        <v>0</v>
      </c>
      <c r="EB69" s="53">
        <f t="shared" si="108"/>
        <v>0</v>
      </c>
      <c r="EC69" s="53">
        <f t="shared" si="108"/>
        <v>0</v>
      </c>
      <c r="ED69" s="53">
        <f t="shared" si="108"/>
        <v>0</v>
      </c>
      <c r="EE69" s="53">
        <f t="shared" si="108"/>
        <v>0</v>
      </c>
      <c r="EF69" s="53">
        <f t="shared" si="108"/>
        <v>0</v>
      </c>
      <c r="EG69" s="53">
        <f t="shared" si="108"/>
        <v>0</v>
      </c>
      <c r="EH69" s="53">
        <f t="shared" si="108"/>
        <v>0</v>
      </c>
      <c r="EI69" s="53">
        <f t="shared" si="108"/>
        <v>0</v>
      </c>
      <c r="EJ69" s="52">
        <f t="shared" si="108"/>
        <v>0</v>
      </c>
      <c r="EK69" s="51">
        <f>SUM(O69:$Z$69)</f>
        <v>474322.62000000005</v>
      </c>
      <c r="EL69" s="50"/>
      <c r="EN69" s="21"/>
    </row>
    <row r="70" spans="1:144" s="13" customFormat="1" ht="25" customHeight="1">
      <c r="A70" s="24"/>
      <c r="B70" s="11"/>
      <c r="C70" s="55" t="s">
        <v>13</v>
      </c>
      <c r="D70" s="54"/>
      <c r="E70" s="53">
        <f t="shared" ref="E70:X70" si="109">+E54</f>
        <v>193.29</v>
      </c>
      <c r="F70" s="53">
        <f t="shared" si="109"/>
        <v>0</v>
      </c>
      <c r="G70" s="53">
        <f t="shared" si="109"/>
        <v>0</v>
      </c>
      <c r="H70" s="53">
        <f t="shared" si="109"/>
        <v>0</v>
      </c>
      <c r="I70" s="53">
        <f t="shared" si="109"/>
        <v>0</v>
      </c>
      <c r="J70" s="53">
        <f t="shared" si="109"/>
        <v>0</v>
      </c>
      <c r="K70" s="53">
        <f t="shared" si="109"/>
        <v>0</v>
      </c>
      <c r="L70" s="53">
        <f t="shared" si="109"/>
        <v>0</v>
      </c>
      <c r="M70" s="53">
        <f t="shared" si="109"/>
        <v>0</v>
      </c>
      <c r="N70" s="53">
        <f t="shared" si="109"/>
        <v>0</v>
      </c>
      <c r="O70" s="53">
        <f t="shared" si="109"/>
        <v>0</v>
      </c>
      <c r="P70" s="53">
        <f t="shared" si="109"/>
        <v>0</v>
      </c>
      <c r="Q70" s="53">
        <f t="shared" si="109"/>
        <v>1796019.35</v>
      </c>
      <c r="R70" s="53">
        <f t="shared" si="109"/>
        <v>0</v>
      </c>
      <c r="S70" s="53">
        <f t="shared" si="109"/>
        <v>0</v>
      </c>
      <c r="T70" s="53">
        <f t="shared" si="109"/>
        <v>0</v>
      </c>
      <c r="U70" s="53">
        <f t="shared" si="109"/>
        <v>0</v>
      </c>
      <c r="V70" s="53">
        <f t="shared" si="109"/>
        <v>0</v>
      </c>
      <c r="W70" s="53">
        <f t="shared" si="109"/>
        <v>0</v>
      </c>
      <c r="X70" s="53">
        <f t="shared" si="109"/>
        <v>0</v>
      </c>
      <c r="Z70" s="52">
        <f>+Z54</f>
        <v>0</v>
      </c>
      <c r="AA70" s="54">
        <f>SUM(E70:$Z$70)-Y70</f>
        <v>1796212.6400000001</v>
      </c>
      <c r="AB70" s="50"/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53">
        <f t="shared" si="99"/>
        <v>0</v>
      </c>
      <c r="AN70" s="53">
        <f t="shared" si="99"/>
        <v>0</v>
      </c>
      <c r="AO70" s="53">
        <f t="shared" si="99"/>
        <v>0</v>
      </c>
      <c r="AP70" s="53">
        <f t="shared" si="99"/>
        <v>204.39</v>
      </c>
      <c r="AQ70" s="53">
        <f t="shared" si="99"/>
        <v>3076.68</v>
      </c>
      <c r="AR70" s="53">
        <f t="shared" si="99"/>
        <v>0</v>
      </c>
      <c r="AS70" s="53">
        <f t="shared" si="99"/>
        <v>1755205.0200000003</v>
      </c>
      <c r="AT70" s="53">
        <f t="shared" si="99"/>
        <v>0</v>
      </c>
      <c r="AU70" s="54">
        <f>SUM(AC70:$AT$70)</f>
        <v>1758486.0900000003</v>
      </c>
      <c r="AV70" s="53">
        <f t="shared" ref="AV70:BQ70" si="110">+AV54</f>
        <v>0</v>
      </c>
      <c r="AW70" s="53">
        <f t="shared" si="110"/>
        <v>0</v>
      </c>
      <c r="AX70" s="53">
        <f t="shared" si="110"/>
        <v>0</v>
      </c>
      <c r="AY70" s="53">
        <f t="shared" si="110"/>
        <v>0</v>
      </c>
      <c r="AZ70" s="53">
        <f t="shared" si="110"/>
        <v>0</v>
      </c>
      <c r="BA70" s="53">
        <f t="shared" si="110"/>
        <v>0</v>
      </c>
      <c r="BB70" s="53">
        <f t="shared" si="110"/>
        <v>0</v>
      </c>
      <c r="BC70" s="53">
        <f t="shared" si="110"/>
        <v>0</v>
      </c>
      <c r="BD70" s="53">
        <f t="shared" si="110"/>
        <v>0</v>
      </c>
      <c r="BE70" s="53">
        <f t="shared" si="110"/>
        <v>0</v>
      </c>
      <c r="BF70" s="53">
        <f t="shared" si="110"/>
        <v>0</v>
      </c>
      <c r="BG70" s="53">
        <f t="shared" si="110"/>
        <v>0</v>
      </c>
      <c r="BH70" s="53">
        <f t="shared" si="110"/>
        <v>0</v>
      </c>
      <c r="BI70" s="53">
        <f t="shared" si="110"/>
        <v>0</v>
      </c>
      <c r="BJ70" s="53">
        <f t="shared" si="110"/>
        <v>0</v>
      </c>
      <c r="BK70" s="53">
        <f t="shared" si="110"/>
        <v>0</v>
      </c>
      <c r="BL70" s="53">
        <f t="shared" si="110"/>
        <v>0</v>
      </c>
      <c r="BM70" s="53">
        <f t="shared" si="110"/>
        <v>0</v>
      </c>
      <c r="BN70" s="53">
        <f t="shared" si="110"/>
        <v>0</v>
      </c>
      <c r="BO70" s="53">
        <f t="shared" si="110"/>
        <v>0</v>
      </c>
      <c r="BP70" s="53">
        <f t="shared" si="110"/>
        <v>0</v>
      </c>
      <c r="BQ70" s="52">
        <f t="shared" si="110"/>
        <v>0</v>
      </c>
      <c r="BR70" s="51" t="e">
        <f>SUM(#REF!)</f>
        <v>#REF!</v>
      </c>
      <c r="BS70" s="50"/>
      <c r="BT70" s="53">
        <f t="shared" ref="BT70:CO70" si="111">+BT54</f>
        <v>0</v>
      </c>
      <c r="BU70" s="53">
        <f t="shared" si="111"/>
        <v>0</v>
      </c>
      <c r="BV70" s="53">
        <f t="shared" si="111"/>
        <v>0</v>
      </c>
      <c r="BW70" s="53">
        <f t="shared" si="111"/>
        <v>0</v>
      </c>
      <c r="BX70" s="53">
        <f t="shared" si="111"/>
        <v>0</v>
      </c>
      <c r="BY70" s="53">
        <f t="shared" si="111"/>
        <v>0</v>
      </c>
      <c r="BZ70" s="53">
        <f t="shared" si="111"/>
        <v>0</v>
      </c>
      <c r="CA70" s="53">
        <f t="shared" si="111"/>
        <v>0</v>
      </c>
      <c r="CB70" s="53">
        <f t="shared" si="111"/>
        <v>0</v>
      </c>
      <c r="CC70" s="53">
        <f t="shared" si="111"/>
        <v>0</v>
      </c>
      <c r="CD70" s="53">
        <f t="shared" si="111"/>
        <v>0</v>
      </c>
      <c r="CE70" s="53">
        <f t="shared" si="111"/>
        <v>0</v>
      </c>
      <c r="CF70" s="53">
        <f t="shared" si="111"/>
        <v>0</v>
      </c>
      <c r="CG70" s="53">
        <f t="shared" si="111"/>
        <v>0</v>
      </c>
      <c r="CH70" s="53">
        <f t="shared" si="111"/>
        <v>0</v>
      </c>
      <c r="CI70" s="53">
        <f t="shared" si="111"/>
        <v>0</v>
      </c>
      <c r="CJ70" s="53">
        <f t="shared" si="111"/>
        <v>0</v>
      </c>
      <c r="CK70" s="53">
        <f t="shared" si="111"/>
        <v>0</v>
      </c>
      <c r="CL70" s="53">
        <f t="shared" si="111"/>
        <v>0</v>
      </c>
      <c r="CM70" s="53">
        <f t="shared" si="111"/>
        <v>0</v>
      </c>
      <c r="CN70" s="53">
        <f t="shared" si="111"/>
        <v>0</v>
      </c>
      <c r="CO70" s="52">
        <f t="shared" si="111"/>
        <v>0</v>
      </c>
      <c r="CP70" s="51">
        <f>SUM(K70:$Z$70)</f>
        <v>1796019.35</v>
      </c>
      <c r="CQ70" s="50"/>
      <c r="CR70" s="53">
        <f t="shared" ref="CR70:DL70" si="112">+CR54</f>
        <v>0</v>
      </c>
      <c r="CS70" s="53">
        <f t="shared" si="112"/>
        <v>0</v>
      </c>
      <c r="CT70" s="53">
        <f t="shared" si="112"/>
        <v>0</v>
      </c>
      <c r="CU70" s="53">
        <f t="shared" si="112"/>
        <v>0</v>
      </c>
      <c r="CV70" s="53">
        <f t="shared" si="112"/>
        <v>0</v>
      </c>
      <c r="CW70" s="53">
        <f t="shared" si="112"/>
        <v>0</v>
      </c>
      <c r="CX70" s="53">
        <f t="shared" si="112"/>
        <v>0</v>
      </c>
      <c r="CY70" s="53">
        <f t="shared" si="112"/>
        <v>0</v>
      </c>
      <c r="CZ70" s="53">
        <f t="shared" si="112"/>
        <v>0</v>
      </c>
      <c r="DA70" s="53">
        <f t="shared" si="112"/>
        <v>0</v>
      </c>
      <c r="DB70" s="53">
        <f t="shared" si="112"/>
        <v>0</v>
      </c>
      <c r="DC70" s="53">
        <f t="shared" si="112"/>
        <v>0</v>
      </c>
      <c r="DD70" s="53">
        <f t="shared" si="112"/>
        <v>0</v>
      </c>
      <c r="DE70" s="53">
        <f t="shared" si="112"/>
        <v>0</v>
      </c>
      <c r="DF70" s="53">
        <f t="shared" si="112"/>
        <v>0</v>
      </c>
      <c r="DG70" s="53">
        <f t="shared" si="112"/>
        <v>0</v>
      </c>
      <c r="DH70" s="53">
        <f t="shared" si="112"/>
        <v>0</v>
      </c>
      <c r="DI70" s="53">
        <f t="shared" si="112"/>
        <v>0</v>
      </c>
      <c r="DJ70" s="53">
        <f t="shared" si="112"/>
        <v>0</v>
      </c>
      <c r="DK70" s="53">
        <f t="shared" si="112"/>
        <v>0</v>
      </c>
      <c r="DL70" s="52">
        <f t="shared" si="112"/>
        <v>0</v>
      </c>
      <c r="DM70" s="51">
        <f>SUM(M70:$Z$70)</f>
        <v>1796019.35</v>
      </c>
      <c r="DN70" s="50"/>
      <c r="DO70" s="53">
        <f t="shared" ref="DO70:EJ70" si="113">+DO54</f>
        <v>0</v>
      </c>
      <c r="DP70" s="53">
        <f t="shared" si="113"/>
        <v>0</v>
      </c>
      <c r="DQ70" s="53">
        <f t="shared" si="113"/>
        <v>0</v>
      </c>
      <c r="DR70" s="53">
        <f t="shared" si="113"/>
        <v>0</v>
      </c>
      <c r="DS70" s="53">
        <f t="shared" si="113"/>
        <v>0</v>
      </c>
      <c r="DT70" s="53">
        <f t="shared" si="113"/>
        <v>0</v>
      </c>
      <c r="DU70" s="53">
        <f t="shared" si="113"/>
        <v>0</v>
      </c>
      <c r="DV70" s="53">
        <f t="shared" si="113"/>
        <v>0</v>
      </c>
      <c r="DW70" s="53">
        <f t="shared" si="113"/>
        <v>0</v>
      </c>
      <c r="DX70" s="53">
        <f t="shared" si="113"/>
        <v>0</v>
      </c>
      <c r="DY70" s="53">
        <f t="shared" si="113"/>
        <v>0</v>
      </c>
      <c r="DZ70" s="53">
        <f t="shared" si="113"/>
        <v>0</v>
      </c>
      <c r="EA70" s="53">
        <f t="shared" si="113"/>
        <v>0</v>
      </c>
      <c r="EB70" s="53">
        <f t="shared" si="113"/>
        <v>0</v>
      </c>
      <c r="EC70" s="53">
        <f t="shared" si="113"/>
        <v>0</v>
      </c>
      <c r="ED70" s="53">
        <f t="shared" si="113"/>
        <v>0</v>
      </c>
      <c r="EE70" s="53">
        <f t="shared" si="113"/>
        <v>0</v>
      </c>
      <c r="EF70" s="53">
        <f t="shared" si="113"/>
        <v>0</v>
      </c>
      <c r="EG70" s="53">
        <f t="shared" si="113"/>
        <v>0</v>
      </c>
      <c r="EH70" s="53">
        <f t="shared" si="113"/>
        <v>0</v>
      </c>
      <c r="EI70" s="53">
        <f t="shared" si="113"/>
        <v>0</v>
      </c>
      <c r="EJ70" s="52">
        <f t="shared" si="113"/>
        <v>0</v>
      </c>
      <c r="EK70" s="51">
        <f>SUM(O70:$Z$70)</f>
        <v>1796019.35</v>
      </c>
      <c r="EL70" s="50"/>
      <c r="EN70" s="21"/>
    </row>
    <row r="71" spans="1:144" s="13" customFormat="1" ht="25" customHeight="1">
      <c r="A71" s="24"/>
      <c r="B71" s="11"/>
      <c r="C71" s="55" t="s">
        <v>0</v>
      </c>
      <c r="D71" s="54"/>
      <c r="E71" s="46">
        <v>10128.6</v>
      </c>
      <c r="F71" s="53">
        <v>8969.4</v>
      </c>
      <c r="G71" s="53">
        <v>7689</v>
      </c>
      <c r="H71" s="53">
        <v>4136.93</v>
      </c>
      <c r="I71" s="53">
        <f t="shared" ref="I71:O71" si="114">(-H84+I55)*I$89</f>
        <v>5807</v>
      </c>
      <c r="J71" s="53">
        <f t="shared" si="114"/>
        <v>3738</v>
      </c>
      <c r="K71" s="53">
        <f t="shared" si="114"/>
        <v>3895.5</v>
      </c>
      <c r="L71" s="53">
        <f t="shared" si="114"/>
        <v>7273</v>
      </c>
      <c r="M71" s="53">
        <f t="shared" si="114"/>
        <v>3804.5</v>
      </c>
      <c r="N71" s="53">
        <f t="shared" si="114"/>
        <v>3909.5</v>
      </c>
      <c r="O71" s="53">
        <f t="shared" si="114"/>
        <v>258108.5</v>
      </c>
      <c r="P71" s="53">
        <v>1554.28</v>
      </c>
      <c r="Q71" s="53">
        <v>1480.07</v>
      </c>
      <c r="R71" s="53">
        <v>5442.16</v>
      </c>
      <c r="S71" s="53">
        <v>3810.5</v>
      </c>
      <c r="T71" s="53">
        <v>1698.88</v>
      </c>
      <c r="U71" s="53">
        <f>(-T84+U55)*U$89</f>
        <v>11253</v>
      </c>
      <c r="V71" s="53">
        <f>(-U84+V55)*V$89</f>
        <v>3272.5</v>
      </c>
      <c r="W71" s="53">
        <f>(-V84+W55)*W$89</f>
        <v>8785</v>
      </c>
      <c r="X71" s="53">
        <f>(-W84+X55)*X$89</f>
        <v>3241</v>
      </c>
      <c r="Z71" s="52">
        <f>(-X84+Z55)*Z$89</f>
        <v>2695</v>
      </c>
      <c r="AA71" s="54">
        <f>SUM(E$71:$Z71)-Y71</f>
        <v>360692.32</v>
      </c>
      <c r="AB71" s="50"/>
      <c r="AC71" s="53">
        <v>2887.5</v>
      </c>
      <c r="AD71" s="53">
        <v>7220.5</v>
      </c>
      <c r="AE71" s="53">
        <v>2607.5</v>
      </c>
      <c r="AF71" s="53">
        <v>2432.5</v>
      </c>
      <c r="AG71" s="53">
        <v>2614.5</v>
      </c>
      <c r="AH71" s="53">
        <v>1627.78</v>
      </c>
      <c r="AI71" s="53">
        <v>5149.58</v>
      </c>
      <c r="AJ71" s="53">
        <v>9668</v>
      </c>
      <c r="AK71" s="53">
        <v>2527</v>
      </c>
      <c r="AL71" s="53">
        <v>129315.5</v>
      </c>
      <c r="AM71" s="53">
        <f t="shared" ref="AM71:AO71" si="115">(-AL84+AM55)*AM$89</f>
        <v>2733.5</v>
      </c>
      <c r="AN71" s="53">
        <f t="shared" si="115"/>
        <v>10461.5</v>
      </c>
      <c r="AO71" s="53">
        <f t="shared" si="115"/>
        <v>2765</v>
      </c>
      <c r="AP71" s="53">
        <f>(-AO84+AP55)*AP$89</f>
        <v>2467.5</v>
      </c>
      <c r="AQ71" s="53">
        <f>(-AP84+AQ55)*AQ$89</f>
        <v>6317.5</v>
      </c>
      <c r="AR71" s="53">
        <f>(-AQ84+AR55)*AR$89</f>
        <v>186973</v>
      </c>
      <c r="AS71" s="53">
        <f>(-AR84+AS55)*AS$89</f>
        <v>2586.5</v>
      </c>
      <c r="AT71" s="53">
        <f>(-AS84+AT55)*AT$89</f>
        <v>2282</v>
      </c>
      <c r="AU71" s="54">
        <f>SUM(AC71:$AT$71)</f>
        <v>382636.86</v>
      </c>
      <c r="AV71" s="53" t="e">
        <f>(-#REF!+AV55)*AV$89</f>
        <v>#REF!</v>
      </c>
      <c r="AW71" s="53" t="e">
        <f t="shared" ref="AW71:BQ71" si="116">(-AV84+AW55)*AW$89</f>
        <v>#REF!</v>
      </c>
      <c r="AX71" s="53" t="e">
        <f t="shared" si="116"/>
        <v>#REF!</v>
      </c>
      <c r="AY71" s="53" t="e">
        <f t="shared" si="116"/>
        <v>#REF!</v>
      </c>
      <c r="AZ71" s="53" t="e">
        <f t="shared" si="116"/>
        <v>#REF!</v>
      </c>
      <c r="BA71" s="53" t="e">
        <f t="shared" si="116"/>
        <v>#REF!</v>
      </c>
      <c r="BB71" s="53" t="e">
        <f t="shared" si="116"/>
        <v>#REF!</v>
      </c>
      <c r="BC71" s="53" t="e">
        <f t="shared" si="116"/>
        <v>#REF!</v>
      </c>
      <c r="BD71" s="53" t="e">
        <f t="shared" si="116"/>
        <v>#REF!</v>
      </c>
      <c r="BE71" s="53" t="e">
        <f t="shared" si="116"/>
        <v>#REF!</v>
      </c>
      <c r="BF71" s="53" t="e">
        <f t="shared" si="116"/>
        <v>#REF!</v>
      </c>
      <c r="BG71" s="53" t="e">
        <f t="shared" si="116"/>
        <v>#REF!</v>
      </c>
      <c r="BH71" s="53" t="e">
        <f t="shared" si="116"/>
        <v>#REF!</v>
      </c>
      <c r="BI71" s="53" t="e">
        <f t="shared" si="116"/>
        <v>#REF!</v>
      </c>
      <c r="BJ71" s="53" t="e">
        <f t="shared" si="116"/>
        <v>#REF!</v>
      </c>
      <c r="BK71" s="53" t="e">
        <f t="shared" si="116"/>
        <v>#REF!</v>
      </c>
      <c r="BL71" s="53" t="e">
        <f t="shared" si="116"/>
        <v>#REF!</v>
      </c>
      <c r="BM71" s="53" t="e">
        <f t="shared" si="116"/>
        <v>#REF!</v>
      </c>
      <c r="BN71" s="53" t="e">
        <f t="shared" si="116"/>
        <v>#REF!</v>
      </c>
      <c r="BO71" s="53" t="e">
        <f t="shared" si="116"/>
        <v>#REF!</v>
      </c>
      <c r="BP71" s="53" t="e">
        <f t="shared" si="116"/>
        <v>#REF!</v>
      </c>
      <c r="BQ71" s="52" t="e">
        <f t="shared" si="116"/>
        <v>#REF!</v>
      </c>
      <c r="BR71" s="51" t="e">
        <f>SUM(#REF!)</f>
        <v>#REF!</v>
      </c>
      <c r="BS71" s="50"/>
      <c r="BT71" s="53" t="e">
        <f>(-BQ84+BT55)*BT$89</f>
        <v>#REF!</v>
      </c>
      <c r="BU71" s="53" t="e">
        <f t="shared" ref="BU71:CO71" si="117">(-BT84+BU55)*BU$89</f>
        <v>#REF!</v>
      </c>
      <c r="BV71" s="53" t="e">
        <f t="shared" si="117"/>
        <v>#REF!</v>
      </c>
      <c r="BW71" s="53" t="e">
        <f t="shared" si="117"/>
        <v>#REF!</v>
      </c>
      <c r="BX71" s="53" t="e">
        <f t="shared" si="117"/>
        <v>#REF!</v>
      </c>
      <c r="BY71" s="53" t="e">
        <f t="shared" si="117"/>
        <v>#REF!</v>
      </c>
      <c r="BZ71" s="53" t="e">
        <f t="shared" si="117"/>
        <v>#REF!</v>
      </c>
      <c r="CA71" s="53" t="e">
        <f t="shared" si="117"/>
        <v>#REF!</v>
      </c>
      <c r="CB71" s="53" t="e">
        <f t="shared" si="117"/>
        <v>#REF!</v>
      </c>
      <c r="CC71" s="53" t="e">
        <f t="shared" si="117"/>
        <v>#REF!</v>
      </c>
      <c r="CD71" s="53" t="e">
        <f t="shared" si="117"/>
        <v>#REF!</v>
      </c>
      <c r="CE71" s="53" t="e">
        <f t="shared" si="117"/>
        <v>#REF!</v>
      </c>
      <c r="CF71" s="53" t="e">
        <f t="shared" si="117"/>
        <v>#REF!</v>
      </c>
      <c r="CG71" s="53" t="e">
        <f t="shared" si="117"/>
        <v>#REF!</v>
      </c>
      <c r="CH71" s="53" t="e">
        <f t="shared" si="117"/>
        <v>#REF!</v>
      </c>
      <c r="CI71" s="53" t="e">
        <f t="shared" si="117"/>
        <v>#REF!</v>
      </c>
      <c r="CJ71" s="53" t="e">
        <f t="shared" si="117"/>
        <v>#REF!</v>
      </c>
      <c r="CK71" s="53" t="e">
        <f t="shared" si="117"/>
        <v>#REF!</v>
      </c>
      <c r="CL71" s="53" t="e">
        <f t="shared" si="117"/>
        <v>#REF!</v>
      </c>
      <c r="CM71" s="53" t="e">
        <f t="shared" si="117"/>
        <v>#REF!</v>
      </c>
      <c r="CN71" s="53" t="e">
        <f t="shared" si="117"/>
        <v>#REF!</v>
      </c>
      <c r="CO71" s="52" t="e">
        <f t="shared" si="117"/>
        <v>#REF!</v>
      </c>
      <c r="CP71" s="51">
        <f>SUM(K$71:$Z71)</f>
        <v>320223.39</v>
      </c>
      <c r="CQ71" s="50"/>
      <c r="CR71" s="53" t="e">
        <f>(-CO84+CR55)*CR$89</f>
        <v>#REF!</v>
      </c>
      <c r="CS71" s="53" t="e">
        <f t="shared" ref="CS71:DL71" si="118">(-CR84+CS55)*CS$89</f>
        <v>#REF!</v>
      </c>
      <c r="CT71" s="53" t="e">
        <f t="shared" si="118"/>
        <v>#REF!</v>
      </c>
      <c r="CU71" s="53" t="e">
        <f t="shared" si="118"/>
        <v>#REF!</v>
      </c>
      <c r="CV71" s="53" t="e">
        <f t="shared" si="118"/>
        <v>#REF!</v>
      </c>
      <c r="CW71" s="53" t="e">
        <f t="shared" si="118"/>
        <v>#REF!</v>
      </c>
      <c r="CX71" s="53" t="e">
        <f t="shared" si="118"/>
        <v>#REF!</v>
      </c>
      <c r="CY71" s="53" t="e">
        <f t="shared" si="118"/>
        <v>#REF!</v>
      </c>
      <c r="CZ71" s="53" t="e">
        <f t="shared" si="118"/>
        <v>#REF!</v>
      </c>
      <c r="DA71" s="53" t="e">
        <f t="shared" si="118"/>
        <v>#REF!</v>
      </c>
      <c r="DB71" s="53" t="e">
        <f t="shared" si="118"/>
        <v>#REF!</v>
      </c>
      <c r="DC71" s="53" t="e">
        <f t="shared" si="118"/>
        <v>#REF!</v>
      </c>
      <c r="DD71" s="53" t="e">
        <f t="shared" si="118"/>
        <v>#REF!</v>
      </c>
      <c r="DE71" s="53" t="e">
        <f t="shared" si="118"/>
        <v>#REF!</v>
      </c>
      <c r="DF71" s="53" t="e">
        <f t="shared" si="118"/>
        <v>#REF!</v>
      </c>
      <c r="DG71" s="53" t="e">
        <f t="shared" si="118"/>
        <v>#REF!</v>
      </c>
      <c r="DH71" s="53" t="e">
        <f t="shared" si="118"/>
        <v>#REF!</v>
      </c>
      <c r="DI71" s="53" t="e">
        <f t="shared" si="118"/>
        <v>#REF!</v>
      </c>
      <c r="DJ71" s="53" t="e">
        <f t="shared" si="118"/>
        <v>#REF!</v>
      </c>
      <c r="DK71" s="53" t="e">
        <f t="shared" si="118"/>
        <v>#REF!</v>
      </c>
      <c r="DL71" s="52" t="e">
        <f t="shared" si="118"/>
        <v>#REF!</v>
      </c>
      <c r="DM71" s="51">
        <f>SUM(M$71:$Z71)</f>
        <v>309054.89</v>
      </c>
      <c r="DN71" s="50"/>
      <c r="DO71" s="53" t="e">
        <f>(-DL84+DO55)*DO$89</f>
        <v>#REF!</v>
      </c>
      <c r="DP71" s="53" t="e">
        <f t="shared" ref="DP71:EJ71" si="119">(-DO84+DP55)*DP$89</f>
        <v>#REF!</v>
      </c>
      <c r="DQ71" s="53" t="e">
        <f t="shared" si="119"/>
        <v>#REF!</v>
      </c>
      <c r="DR71" s="53" t="e">
        <f t="shared" si="119"/>
        <v>#REF!</v>
      </c>
      <c r="DS71" s="53" t="e">
        <f t="shared" si="119"/>
        <v>#REF!</v>
      </c>
      <c r="DT71" s="53" t="e">
        <f t="shared" si="119"/>
        <v>#REF!</v>
      </c>
      <c r="DU71" s="53" t="e">
        <f t="shared" si="119"/>
        <v>#REF!</v>
      </c>
      <c r="DV71" s="53" t="e">
        <f t="shared" si="119"/>
        <v>#REF!</v>
      </c>
      <c r="DW71" s="53" t="e">
        <f t="shared" si="119"/>
        <v>#REF!</v>
      </c>
      <c r="DX71" s="53" t="e">
        <f t="shared" si="119"/>
        <v>#REF!</v>
      </c>
      <c r="DY71" s="53" t="e">
        <f t="shared" si="119"/>
        <v>#REF!</v>
      </c>
      <c r="DZ71" s="53" t="e">
        <f t="shared" si="119"/>
        <v>#REF!</v>
      </c>
      <c r="EA71" s="53" t="e">
        <f t="shared" si="119"/>
        <v>#REF!</v>
      </c>
      <c r="EB71" s="53" t="e">
        <f t="shared" si="119"/>
        <v>#REF!</v>
      </c>
      <c r="EC71" s="53" t="e">
        <f t="shared" si="119"/>
        <v>#REF!</v>
      </c>
      <c r="ED71" s="53" t="e">
        <f t="shared" si="119"/>
        <v>#REF!</v>
      </c>
      <c r="EE71" s="53" t="e">
        <f t="shared" si="119"/>
        <v>#REF!</v>
      </c>
      <c r="EF71" s="53" t="e">
        <f t="shared" si="119"/>
        <v>#REF!</v>
      </c>
      <c r="EG71" s="53" t="e">
        <f t="shared" si="119"/>
        <v>#REF!</v>
      </c>
      <c r="EH71" s="53" t="e">
        <f t="shared" si="119"/>
        <v>#REF!</v>
      </c>
      <c r="EI71" s="53" t="e">
        <f t="shared" si="119"/>
        <v>#REF!</v>
      </c>
      <c r="EJ71" s="52" t="e">
        <f t="shared" si="119"/>
        <v>#REF!</v>
      </c>
      <c r="EK71" s="51">
        <f>SUM(O$71:$Z71)</f>
        <v>301340.89</v>
      </c>
      <c r="EL71" s="50"/>
      <c r="EN71" s="21"/>
    </row>
    <row r="72" spans="1:144" s="13" customFormat="1" ht="25" customHeight="1">
      <c r="A72" s="24"/>
      <c r="B72" s="11"/>
      <c r="C72" s="49" t="s">
        <v>12</v>
      </c>
      <c r="D72" s="47"/>
      <c r="E72" s="46">
        <f t="shared" ref="E72:X72" si="120">+E56</f>
        <v>0</v>
      </c>
      <c r="F72" s="46">
        <f t="shared" si="120"/>
        <v>393864.69</v>
      </c>
      <c r="G72" s="46">
        <f t="shared" si="120"/>
        <v>0</v>
      </c>
      <c r="H72" s="46">
        <f t="shared" si="120"/>
        <v>0</v>
      </c>
      <c r="I72" s="46">
        <f t="shared" si="120"/>
        <v>0</v>
      </c>
      <c r="J72" s="46">
        <f t="shared" si="120"/>
        <v>0</v>
      </c>
      <c r="K72" s="46">
        <f t="shared" si="120"/>
        <v>0</v>
      </c>
      <c r="L72" s="46">
        <f t="shared" si="120"/>
        <v>0</v>
      </c>
      <c r="M72" s="46">
        <f t="shared" si="120"/>
        <v>0</v>
      </c>
      <c r="N72" s="46">
        <f t="shared" si="120"/>
        <v>0</v>
      </c>
      <c r="O72" s="46">
        <f t="shared" si="120"/>
        <v>0</v>
      </c>
      <c r="P72" s="46">
        <f t="shared" si="120"/>
        <v>0</v>
      </c>
      <c r="Q72" s="46">
        <f t="shared" si="120"/>
        <v>480981.88</v>
      </c>
      <c r="R72" s="46">
        <f t="shared" si="120"/>
        <v>0</v>
      </c>
      <c r="S72" s="46">
        <f t="shared" si="120"/>
        <v>0</v>
      </c>
      <c r="T72" s="46">
        <f t="shared" si="120"/>
        <v>0</v>
      </c>
      <c r="U72" s="46">
        <f t="shared" si="120"/>
        <v>0</v>
      </c>
      <c r="V72" s="46">
        <f t="shared" si="120"/>
        <v>0</v>
      </c>
      <c r="W72" s="46">
        <f t="shared" si="120"/>
        <v>0</v>
      </c>
      <c r="X72" s="46">
        <f t="shared" si="120"/>
        <v>0</v>
      </c>
      <c r="Z72" s="45">
        <f>+Z56</f>
        <v>0</v>
      </c>
      <c r="AA72" s="47">
        <f>SUM(E72:$Z$72)-Y72</f>
        <v>874846.57000000007</v>
      </c>
      <c r="AB72" s="43"/>
      <c r="AC72" s="46">
        <v>0</v>
      </c>
      <c r="AD72" s="46">
        <v>0</v>
      </c>
      <c r="AE72" s="46">
        <v>0</v>
      </c>
      <c r="AF72" s="46">
        <v>367007.45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f t="shared" ref="AM72:AT74" si="121">+AM56</f>
        <v>0</v>
      </c>
      <c r="AN72" s="46">
        <f t="shared" si="121"/>
        <v>0</v>
      </c>
      <c r="AO72" s="46">
        <f t="shared" si="121"/>
        <v>475824.88</v>
      </c>
      <c r="AP72" s="46">
        <f t="shared" si="121"/>
        <v>0</v>
      </c>
      <c r="AQ72" s="46">
        <f t="shared" si="121"/>
        <v>0</v>
      </c>
      <c r="AR72" s="46">
        <f t="shared" si="121"/>
        <v>0</v>
      </c>
      <c r="AS72" s="46">
        <f t="shared" si="121"/>
        <v>0</v>
      </c>
      <c r="AT72" s="46">
        <f t="shared" si="121"/>
        <v>0</v>
      </c>
      <c r="AU72" s="47">
        <f>SUM(AC72:$AT$72)</f>
        <v>842832.33000000007</v>
      </c>
      <c r="AV72" s="46">
        <f t="shared" ref="AV72:BQ72" si="122">+AV56</f>
        <v>0</v>
      </c>
      <c r="AW72" s="46">
        <f t="shared" si="122"/>
        <v>0</v>
      </c>
      <c r="AX72" s="46">
        <f t="shared" si="122"/>
        <v>0</v>
      </c>
      <c r="AY72" s="46">
        <f t="shared" si="122"/>
        <v>0</v>
      </c>
      <c r="AZ72" s="46">
        <f t="shared" si="122"/>
        <v>0</v>
      </c>
      <c r="BA72" s="46">
        <f t="shared" si="122"/>
        <v>0</v>
      </c>
      <c r="BB72" s="46">
        <f t="shared" si="122"/>
        <v>0</v>
      </c>
      <c r="BC72" s="46">
        <f t="shared" si="122"/>
        <v>0</v>
      </c>
      <c r="BD72" s="46">
        <f t="shared" si="122"/>
        <v>0</v>
      </c>
      <c r="BE72" s="46">
        <f t="shared" si="122"/>
        <v>0</v>
      </c>
      <c r="BF72" s="46">
        <f t="shared" si="122"/>
        <v>0</v>
      </c>
      <c r="BG72" s="46">
        <f t="shared" si="122"/>
        <v>0</v>
      </c>
      <c r="BH72" s="46">
        <f t="shared" si="122"/>
        <v>0</v>
      </c>
      <c r="BI72" s="46">
        <f t="shared" si="122"/>
        <v>0</v>
      </c>
      <c r="BJ72" s="46">
        <f t="shared" si="122"/>
        <v>0</v>
      </c>
      <c r="BK72" s="46">
        <f t="shared" si="122"/>
        <v>0</v>
      </c>
      <c r="BL72" s="46">
        <f t="shared" si="122"/>
        <v>0</v>
      </c>
      <c r="BM72" s="46">
        <f t="shared" si="122"/>
        <v>0</v>
      </c>
      <c r="BN72" s="46">
        <f t="shared" si="122"/>
        <v>0</v>
      </c>
      <c r="BO72" s="46">
        <f t="shared" si="122"/>
        <v>0</v>
      </c>
      <c r="BP72" s="46">
        <f t="shared" si="122"/>
        <v>0</v>
      </c>
      <c r="BQ72" s="45">
        <f t="shared" si="122"/>
        <v>0</v>
      </c>
      <c r="BR72" s="44" t="e">
        <f>SUM(#REF!)</f>
        <v>#REF!</v>
      </c>
      <c r="BS72" s="43"/>
      <c r="BT72" s="46">
        <f t="shared" ref="BT72:CO72" si="123">+BT56</f>
        <v>0</v>
      </c>
      <c r="BU72" s="46">
        <f t="shared" si="123"/>
        <v>0</v>
      </c>
      <c r="BV72" s="46">
        <f t="shared" si="123"/>
        <v>0</v>
      </c>
      <c r="BW72" s="46">
        <f t="shared" si="123"/>
        <v>0</v>
      </c>
      <c r="BX72" s="46">
        <f t="shared" si="123"/>
        <v>0</v>
      </c>
      <c r="BY72" s="46">
        <f t="shared" si="123"/>
        <v>0</v>
      </c>
      <c r="BZ72" s="46">
        <f t="shared" si="123"/>
        <v>0</v>
      </c>
      <c r="CA72" s="46">
        <f t="shared" si="123"/>
        <v>0</v>
      </c>
      <c r="CB72" s="46">
        <f t="shared" si="123"/>
        <v>0</v>
      </c>
      <c r="CC72" s="46">
        <f t="shared" si="123"/>
        <v>0</v>
      </c>
      <c r="CD72" s="46">
        <f t="shared" si="123"/>
        <v>0</v>
      </c>
      <c r="CE72" s="46">
        <f t="shared" si="123"/>
        <v>0</v>
      </c>
      <c r="CF72" s="46">
        <f t="shared" si="123"/>
        <v>0</v>
      </c>
      <c r="CG72" s="46">
        <f t="shared" si="123"/>
        <v>0</v>
      </c>
      <c r="CH72" s="46">
        <f t="shared" si="123"/>
        <v>0</v>
      </c>
      <c r="CI72" s="46">
        <f t="shared" si="123"/>
        <v>0</v>
      </c>
      <c r="CJ72" s="46">
        <f t="shared" si="123"/>
        <v>0</v>
      </c>
      <c r="CK72" s="46">
        <f t="shared" si="123"/>
        <v>0</v>
      </c>
      <c r="CL72" s="46">
        <f t="shared" si="123"/>
        <v>0</v>
      </c>
      <c r="CM72" s="46">
        <f t="shared" si="123"/>
        <v>0</v>
      </c>
      <c r="CN72" s="46">
        <f t="shared" si="123"/>
        <v>0</v>
      </c>
      <c r="CO72" s="45">
        <f t="shared" si="123"/>
        <v>0</v>
      </c>
      <c r="CP72" s="44">
        <f>SUM(K72:$Z$72)</f>
        <v>480981.88</v>
      </c>
      <c r="CQ72" s="43"/>
      <c r="CR72" s="46">
        <f t="shared" ref="CR72:DL72" si="124">+CR56</f>
        <v>0</v>
      </c>
      <c r="CS72" s="46">
        <f t="shared" si="124"/>
        <v>0</v>
      </c>
      <c r="CT72" s="46">
        <f t="shared" si="124"/>
        <v>0</v>
      </c>
      <c r="CU72" s="46">
        <f t="shared" si="124"/>
        <v>0</v>
      </c>
      <c r="CV72" s="46">
        <f t="shared" si="124"/>
        <v>0</v>
      </c>
      <c r="CW72" s="46">
        <f t="shared" si="124"/>
        <v>0</v>
      </c>
      <c r="CX72" s="46">
        <f t="shared" si="124"/>
        <v>0</v>
      </c>
      <c r="CY72" s="46">
        <f t="shared" si="124"/>
        <v>0</v>
      </c>
      <c r="CZ72" s="46">
        <f t="shared" si="124"/>
        <v>0</v>
      </c>
      <c r="DA72" s="46">
        <f t="shared" si="124"/>
        <v>0</v>
      </c>
      <c r="DB72" s="46">
        <f t="shared" si="124"/>
        <v>0</v>
      </c>
      <c r="DC72" s="46">
        <f t="shared" si="124"/>
        <v>0</v>
      </c>
      <c r="DD72" s="46">
        <f t="shared" si="124"/>
        <v>0</v>
      </c>
      <c r="DE72" s="46">
        <f t="shared" si="124"/>
        <v>0</v>
      </c>
      <c r="DF72" s="46">
        <f t="shared" si="124"/>
        <v>0</v>
      </c>
      <c r="DG72" s="46">
        <f t="shared" si="124"/>
        <v>0</v>
      </c>
      <c r="DH72" s="46">
        <f t="shared" si="124"/>
        <v>0</v>
      </c>
      <c r="DI72" s="46">
        <f t="shared" si="124"/>
        <v>0</v>
      </c>
      <c r="DJ72" s="46">
        <f t="shared" si="124"/>
        <v>0</v>
      </c>
      <c r="DK72" s="46">
        <f t="shared" si="124"/>
        <v>0</v>
      </c>
      <c r="DL72" s="45">
        <f t="shared" si="124"/>
        <v>0</v>
      </c>
      <c r="DM72" s="44">
        <f>SUM(M72:$Z$72)</f>
        <v>480981.88</v>
      </c>
      <c r="DN72" s="43"/>
      <c r="DO72" s="46">
        <f t="shared" ref="DO72:EJ72" si="125">+DO56</f>
        <v>0</v>
      </c>
      <c r="DP72" s="46">
        <f t="shared" si="125"/>
        <v>0</v>
      </c>
      <c r="DQ72" s="46">
        <f t="shared" si="125"/>
        <v>0</v>
      </c>
      <c r="DR72" s="46">
        <f t="shared" si="125"/>
        <v>0</v>
      </c>
      <c r="DS72" s="46">
        <f t="shared" si="125"/>
        <v>0</v>
      </c>
      <c r="DT72" s="46">
        <f t="shared" si="125"/>
        <v>0</v>
      </c>
      <c r="DU72" s="46">
        <f t="shared" si="125"/>
        <v>0</v>
      </c>
      <c r="DV72" s="46">
        <f t="shared" si="125"/>
        <v>0</v>
      </c>
      <c r="DW72" s="46">
        <f t="shared" si="125"/>
        <v>0</v>
      </c>
      <c r="DX72" s="46">
        <f t="shared" si="125"/>
        <v>0</v>
      </c>
      <c r="DY72" s="46">
        <f t="shared" si="125"/>
        <v>0</v>
      </c>
      <c r="DZ72" s="46">
        <f t="shared" si="125"/>
        <v>0</v>
      </c>
      <c r="EA72" s="46">
        <f t="shared" si="125"/>
        <v>0</v>
      </c>
      <c r="EB72" s="46">
        <f t="shared" si="125"/>
        <v>0</v>
      </c>
      <c r="EC72" s="46">
        <f t="shared" si="125"/>
        <v>0</v>
      </c>
      <c r="ED72" s="46">
        <f t="shared" si="125"/>
        <v>0</v>
      </c>
      <c r="EE72" s="46">
        <f t="shared" si="125"/>
        <v>0</v>
      </c>
      <c r="EF72" s="46">
        <f t="shared" si="125"/>
        <v>0</v>
      </c>
      <c r="EG72" s="46">
        <f t="shared" si="125"/>
        <v>0</v>
      </c>
      <c r="EH72" s="46">
        <f t="shared" si="125"/>
        <v>0</v>
      </c>
      <c r="EI72" s="46">
        <f t="shared" si="125"/>
        <v>0</v>
      </c>
      <c r="EJ72" s="45">
        <f t="shared" si="125"/>
        <v>0</v>
      </c>
      <c r="EK72" s="44">
        <f>SUM(O72:$Z$72)</f>
        <v>480981.88</v>
      </c>
      <c r="EL72" s="43"/>
      <c r="EN72" s="21"/>
    </row>
    <row r="73" spans="1:144" s="13" customFormat="1" ht="25" customHeight="1">
      <c r="A73" s="24"/>
      <c r="B73" s="11"/>
      <c r="C73" s="55" t="s">
        <v>11</v>
      </c>
      <c r="D73" s="54"/>
      <c r="E73" s="53">
        <f t="shared" ref="E73:X73" si="126">+E57</f>
        <v>0</v>
      </c>
      <c r="F73" s="53">
        <f t="shared" si="126"/>
        <v>0</v>
      </c>
      <c r="G73" s="53">
        <f t="shared" si="126"/>
        <v>0</v>
      </c>
      <c r="H73" s="53">
        <f t="shared" si="126"/>
        <v>0</v>
      </c>
      <c r="I73" s="53">
        <f t="shared" si="126"/>
        <v>4137.3099999999995</v>
      </c>
      <c r="J73" s="53">
        <f t="shared" si="126"/>
        <v>1643.95</v>
      </c>
      <c r="K73" s="53">
        <f t="shared" si="126"/>
        <v>0</v>
      </c>
      <c r="L73" s="53">
        <f t="shared" si="126"/>
        <v>0</v>
      </c>
      <c r="M73" s="53">
        <f t="shared" si="126"/>
        <v>0</v>
      </c>
      <c r="N73" s="53">
        <f t="shared" si="126"/>
        <v>651</v>
      </c>
      <c r="O73" s="53">
        <f t="shared" si="126"/>
        <v>146</v>
      </c>
      <c r="P73" s="53">
        <f t="shared" si="126"/>
        <v>0</v>
      </c>
      <c r="Q73" s="53">
        <f t="shared" si="126"/>
        <v>1046525.27</v>
      </c>
      <c r="R73" s="53">
        <f t="shared" si="126"/>
        <v>0</v>
      </c>
      <c r="S73" s="53">
        <f t="shared" si="126"/>
        <v>36096.17</v>
      </c>
      <c r="T73" s="53">
        <f t="shared" si="126"/>
        <v>46838.559999999998</v>
      </c>
      <c r="U73" s="53">
        <f t="shared" si="126"/>
        <v>0</v>
      </c>
      <c r="V73" s="53">
        <f t="shared" si="126"/>
        <v>0</v>
      </c>
      <c r="W73" s="53">
        <f t="shared" si="126"/>
        <v>0</v>
      </c>
      <c r="X73" s="53">
        <f t="shared" si="126"/>
        <v>0</v>
      </c>
      <c r="Z73" s="52">
        <f>+Z57</f>
        <v>218499.35</v>
      </c>
      <c r="AA73" s="54">
        <f>SUM(E73:$Z$73)-Y73</f>
        <v>1354537.61</v>
      </c>
      <c r="AB73" s="50"/>
      <c r="AC73" s="53">
        <v>0</v>
      </c>
      <c r="AD73" s="53">
        <v>1507760.89</v>
      </c>
      <c r="AE73" s="53">
        <v>0</v>
      </c>
      <c r="AF73" s="53">
        <v>0</v>
      </c>
      <c r="AG73" s="53">
        <v>1858.06</v>
      </c>
      <c r="AH73" s="53">
        <v>0</v>
      </c>
      <c r="AI73" s="53">
        <v>59625.24</v>
      </c>
      <c r="AJ73" s="53">
        <v>0</v>
      </c>
      <c r="AK73" s="53">
        <v>0</v>
      </c>
      <c r="AL73" s="53">
        <v>9866.1200000000008</v>
      </c>
      <c r="AM73" s="53">
        <f t="shared" si="121"/>
        <v>61773.87</v>
      </c>
      <c r="AN73" s="53">
        <f t="shared" si="121"/>
        <v>0</v>
      </c>
      <c r="AO73" s="53">
        <f t="shared" si="121"/>
        <v>1481.56</v>
      </c>
      <c r="AP73" s="53">
        <f t="shared" si="121"/>
        <v>0</v>
      </c>
      <c r="AQ73" s="53">
        <f t="shared" si="121"/>
        <v>0</v>
      </c>
      <c r="AR73" s="53">
        <f t="shared" si="121"/>
        <v>0</v>
      </c>
      <c r="AS73" s="53">
        <f t="shared" si="121"/>
        <v>350</v>
      </c>
      <c r="AT73" s="53">
        <f t="shared" si="121"/>
        <v>252838.99</v>
      </c>
      <c r="AU73" s="54">
        <f>SUM(AC73:$AT$73)</f>
        <v>1895554.7300000002</v>
      </c>
      <c r="AV73" s="53">
        <f t="shared" ref="AV73:BQ73" si="127">+AV57</f>
        <v>0</v>
      </c>
      <c r="AW73" s="53">
        <f t="shared" si="127"/>
        <v>0</v>
      </c>
      <c r="AX73" s="53">
        <f t="shared" si="127"/>
        <v>0</v>
      </c>
      <c r="AY73" s="53">
        <f t="shared" si="127"/>
        <v>0</v>
      </c>
      <c r="AZ73" s="53">
        <f t="shared" si="127"/>
        <v>0</v>
      </c>
      <c r="BA73" s="53">
        <f t="shared" si="127"/>
        <v>0</v>
      </c>
      <c r="BB73" s="53">
        <f t="shared" si="127"/>
        <v>0</v>
      </c>
      <c r="BC73" s="53">
        <f t="shared" si="127"/>
        <v>0</v>
      </c>
      <c r="BD73" s="53">
        <f t="shared" si="127"/>
        <v>0</v>
      </c>
      <c r="BE73" s="53">
        <f t="shared" si="127"/>
        <v>0</v>
      </c>
      <c r="BF73" s="53">
        <f t="shared" si="127"/>
        <v>0</v>
      </c>
      <c r="BG73" s="53">
        <f t="shared" si="127"/>
        <v>0</v>
      </c>
      <c r="BH73" s="53">
        <f t="shared" si="127"/>
        <v>0</v>
      </c>
      <c r="BI73" s="53">
        <f t="shared" si="127"/>
        <v>0</v>
      </c>
      <c r="BJ73" s="53">
        <f t="shared" si="127"/>
        <v>0</v>
      </c>
      <c r="BK73" s="53">
        <f t="shared" si="127"/>
        <v>0</v>
      </c>
      <c r="BL73" s="53">
        <f t="shared" si="127"/>
        <v>0</v>
      </c>
      <c r="BM73" s="53">
        <f t="shared" si="127"/>
        <v>0</v>
      </c>
      <c r="BN73" s="53">
        <f t="shared" si="127"/>
        <v>0</v>
      </c>
      <c r="BO73" s="53">
        <f t="shared" si="127"/>
        <v>0</v>
      </c>
      <c r="BP73" s="53">
        <f t="shared" si="127"/>
        <v>0</v>
      </c>
      <c r="BQ73" s="52">
        <f t="shared" si="127"/>
        <v>0</v>
      </c>
      <c r="BR73" s="51" t="e">
        <f>SUM(#REF!)</f>
        <v>#REF!</v>
      </c>
      <c r="BS73" s="50"/>
      <c r="BT73" s="53">
        <f t="shared" ref="BT73:CO73" si="128">+BT57</f>
        <v>0</v>
      </c>
      <c r="BU73" s="53">
        <f t="shared" si="128"/>
        <v>0</v>
      </c>
      <c r="BV73" s="53">
        <f t="shared" si="128"/>
        <v>0</v>
      </c>
      <c r="BW73" s="53">
        <f t="shared" si="128"/>
        <v>0</v>
      </c>
      <c r="BX73" s="53">
        <f t="shared" si="128"/>
        <v>0</v>
      </c>
      <c r="BY73" s="53">
        <f t="shared" si="128"/>
        <v>0</v>
      </c>
      <c r="BZ73" s="53">
        <f t="shared" si="128"/>
        <v>0</v>
      </c>
      <c r="CA73" s="53">
        <f t="shared" si="128"/>
        <v>0</v>
      </c>
      <c r="CB73" s="53">
        <f t="shared" si="128"/>
        <v>0</v>
      </c>
      <c r="CC73" s="53">
        <f t="shared" si="128"/>
        <v>0</v>
      </c>
      <c r="CD73" s="53">
        <f t="shared" si="128"/>
        <v>0</v>
      </c>
      <c r="CE73" s="53">
        <f t="shared" si="128"/>
        <v>0</v>
      </c>
      <c r="CF73" s="53">
        <f t="shared" si="128"/>
        <v>0</v>
      </c>
      <c r="CG73" s="53">
        <f t="shared" si="128"/>
        <v>0</v>
      </c>
      <c r="CH73" s="53">
        <f t="shared" si="128"/>
        <v>0</v>
      </c>
      <c r="CI73" s="53">
        <f t="shared" si="128"/>
        <v>0</v>
      </c>
      <c r="CJ73" s="53">
        <f t="shared" si="128"/>
        <v>0</v>
      </c>
      <c r="CK73" s="53">
        <f t="shared" si="128"/>
        <v>0</v>
      </c>
      <c r="CL73" s="53">
        <f t="shared" si="128"/>
        <v>0</v>
      </c>
      <c r="CM73" s="53">
        <f t="shared" si="128"/>
        <v>0</v>
      </c>
      <c r="CN73" s="53">
        <f t="shared" si="128"/>
        <v>0</v>
      </c>
      <c r="CO73" s="52">
        <f t="shared" si="128"/>
        <v>0</v>
      </c>
      <c r="CP73" s="51">
        <f>SUM(K73:$Z$73)</f>
        <v>1348756.35</v>
      </c>
      <c r="CQ73" s="50"/>
      <c r="CR73" s="53">
        <f t="shared" ref="CR73:DL73" si="129">+CR57</f>
        <v>0</v>
      </c>
      <c r="CS73" s="53">
        <f t="shared" si="129"/>
        <v>0</v>
      </c>
      <c r="CT73" s="53">
        <f t="shared" si="129"/>
        <v>0</v>
      </c>
      <c r="CU73" s="53">
        <f t="shared" si="129"/>
        <v>0</v>
      </c>
      <c r="CV73" s="53">
        <f t="shared" si="129"/>
        <v>0</v>
      </c>
      <c r="CW73" s="53">
        <f t="shared" si="129"/>
        <v>0</v>
      </c>
      <c r="CX73" s="53">
        <f t="shared" si="129"/>
        <v>0</v>
      </c>
      <c r="CY73" s="53">
        <f t="shared" si="129"/>
        <v>0</v>
      </c>
      <c r="CZ73" s="53">
        <f t="shared" si="129"/>
        <v>0</v>
      </c>
      <c r="DA73" s="53">
        <f t="shared" si="129"/>
        <v>0</v>
      </c>
      <c r="DB73" s="53">
        <f t="shared" si="129"/>
        <v>0</v>
      </c>
      <c r="DC73" s="53">
        <f t="shared" si="129"/>
        <v>0</v>
      </c>
      <c r="DD73" s="53">
        <f t="shared" si="129"/>
        <v>0</v>
      </c>
      <c r="DE73" s="53">
        <f t="shared" si="129"/>
        <v>0</v>
      </c>
      <c r="DF73" s="53">
        <f t="shared" si="129"/>
        <v>0</v>
      </c>
      <c r="DG73" s="53">
        <f t="shared" si="129"/>
        <v>0</v>
      </c>
      <c r="DH73" s="53">
        <f t="shared" si="129"/>
        <v>0</v>
      </c>
      <c r="DI73" s="53">
        <f t="shared" si="129"/>
        <v>0</v>
      </c>
      <c r="DJ73" s="53">
        <f t="shared" si="129"/>
        <v>0</v>
      </c>
      <c r="DK73" s="53">
        <f t="shared" si="129"/>
        <v>0</v>
      </c>
      <c r="DL73" s="52">
        <f t="shared" si="129"/>
        <v>0</v>
      </c>
      <c r="DM73" s="51">
        <f>SUM(M73:$Z$73)</f>
        <v>1348756.35</v>
      </c>
      <c r="DN73" s="50"/>
      <c r="DO73" s="53">
        <f t="shared" ref="DO73:EJ73" si="130">+DO57</f>
        <v>0</v>
      </c>
      <c r="DP73" s="53">
        <f t="shared" si="130"/>
        <v>0</v>
      </c>
      <c r="DQ73" s="53">
        <f t="shared" si="130"/>
        <v>0</v>
      </c>
      <c r="DR73" s="53">
        <f t="shared" si="130"/>
        <v>0</v>
      </c>
      <c r="DS73" s="53">
        <f t="shared" si="130"/>
        <v>0</v>
      </c>
      <c r="DT73" s="53">
        <f t="shared" si="130"/>
        <v>0</v>
      </c>
      <c r="DU73" s="53">
        <f t="shared" si="130"/>
        <v>0</v>
      </c>
      <c r="DV73" s="53">
        <f t="shared" si="130"/>
        <v>0</v>
      </c>
      <c r="DW73" s="53">
        <f t="shared" si="130"/>
        <v>0</v>
      </c>
      <c r="DX73" s="53">
        <f t="shared" si="130"/>
        <v>0</v>
      </c>
      <c r="DY73" s="53">
        <f t="shared" si="130"/>
        <v>0</v>
      </c>
      <c r="DZ73" s="53">
        <f t="shared" si="130"/>
        <v>0</v>
      </c>
      <c r="EA73" s="53">
        <f t="shared" si="130"/>
        <v>0</v>
      </c>
      <c r="EB73" s="53">
        <f t="shared" si="130"/>
        <v>0</v>
      </c>
      <c r="EC73" s="53">
        <f t="shared" si="130"/>
        <v>0</v>
      </c>
      <c r="ED73" s="53">
        <f t="shared" si="130"/>
        <v>0</v>
      </c>
      <c r="EE73" s="53">
        <f t="shared" si="130"/>
        <v>0</v>
      </c>
      <c r="EF73" s="53">
        <f t="shared" si="130"/>
        <v>0</v>
      </c>
      <c r="EG73" s="53">
        <f t="shared" si="130"/>
        <v>0</v>
      </c>
      <c r="EH73" s="53">
        <f t="shared" si="130"/>
        <v>0</v>
      </c>
      <c r="EI73" s="53">
        <f t="shared" si="130"/>
        <v>0</v>
      </c>
      <c r="EJ73" s="52">
        <f t="shared" si="130"/>
        <v>0</v>
      </c>
      <c r="EK73" s="51">
        <f>SUM(O73:$Z$73)</f>
        <v>1348105.35</v>
      </c>
      <c r="EL73" s="50"/>
      <c r="EN73" s="21"/>
    </row>
    <row r="74" spans="1:144" s="13" customFormat="1" ht="25" customHeight="1" thickBot="1">
      <c r="A74" s="24"/>
      <c r="B74" s="11"/>
      <c r="C74" s="42" t="s">
        <v>10</v>
      </c>
      <c r="D74" s="40"/>
      <c r="E74" s="39">
        <f t="shared" ref="E74:X74" si="131">+E58</f>
        <v>827.5</v>
      </c>
      <c r="F74" s="39">
        <f t="shared" si="131"/>
        <v>-827.5</v>
      </c>
      <c r="G74" s="39">
        <f t="shared" si="131"/>
        <v>0</v>
      </c>
      <c r="H74" s="39">
        <f t="shared" si="131"/>
        <v>0</v>
      </c>
      <c r="I74" s="39">
        <f t="shared" si="131"/>
        <v>54000</v>
      </c>
      <c r="J74" s="39">
        <f t="shared" si="131"/>
        <v>-99378.83</v>
      </c>
      <c r="K74" s="39">
        <f t="shared" si="131"/>
        <v>108378.68000000001</v>
      </c>
      <c r="L74" s="39">
        <f t="shared" si="131"/>
        <v>-54000</v>
      </c>
      <c r="M74" s="39">
        <f t="shared" si="131"/>
        <v>0</v>
      </c>
      <c r="N74" s="39">
        <f t="shared" si="131"/>
        <v>0</v>
      </c>
      <c r="O74" s="39">
        <f t="shared" si="131"/>
        <v>0</v>
      </c>
      <c r="P74" s="39">
        <f t="shared" si="131"/>
        <v>0</v>
      </c>
      <c r="Q74" s="39">
        <f t="shared" si="131"/>
        <v>0</v>
      </c>
      <c r="R74" s="39">
        <f t="shared" si="131"/>
        <v>0</v>
      </c>
      <c r="S74" s="39">
        <f t="shared" si="131"/>
        <v>0</v>
      </c>
      <c r="T74" s="39">
        <f t="shared" si="131"/>
        <v>4230330.2500000009</v>
      </c>
      <c r="U74" s="39">
        <f t="shared" si="131"/>
        <v>61125.96</v>
      </c>
      <c r="V74" s="39">
        <f t="shared" si="131"/>
        <v>0</v>
      </c>
      <c r="W74" s="39">
        <f t="shared" si="131"/>
        <v>236703.60000000003</v>
      </c>
      <c r="X74" s="39">
        <f t="shared" si="131"/>
        <v>-162437.1</v>
      </c>
      <c r="Z74" s="38">
        <f>+Z58</f>
        <v>0</v>
      </c>
      <c r="AA74" s="40">
        <f>SUM(E74:$Z$74)-Y74</f>
        <v>4374722.5600000005</v>
      </c>
      <c r="AB74" s="36"/>
      <c r="AC74" s="39">
        <v>8000</v>
      </c>
      <c r="AD74" s="39">
        <v>261882.82</v>
      </c>
      <c r="AE74" s="39">
        <v>0</v>
      </c>
      <c r="AF74" s="39">
        <v>-135392.46000000002</v>
      </c>
      <c r="AG74" s="39">
        <v>-155000</v>
      </c>
      <c r="AH74" s="39">
        <v>0</v>
      </c>
      <c r="AI74" s="39">
        <v>-4528093.54</v>
      </c>
      <c r="AJ74" s="39">
        <v>5356288.55</v>
      </c>
      <c r="AK74" s="39">
        <v>0</v>
      </c>
      <c r="AL74" s="39">
        <v>-65989.100000000006</v>
      </c>
      <c r="AM74" s="39">
        <f t="shared" si="121"/>
        <v>16002.02</v>
      </c>
      <c r="AN74" s="39">
        <f t="shared" si="121"/>
        <v>0</v>
      </c>
      <c r="AO74" s="39">
        <f t="shared" si="121"/>
        <v>0</v>
      </c>
      <c r="AP74" s="39">
        <f t="shared" si="121"/>
        <v>0</v>
      </c>
      <c r="AQ74" s="39">
        <f t="shared" si="121"/>
        <v>0</v>
      </c>
      <c r="AR74" s="39">
        <f t="shared" si="121"/>
        <v>-26030.960000000006</v>
      </c>
      <c r="AS74" s="39">
        <f t="shared" si="121"/>
        <v>-32850.879999999997</v>
      </c>
      <c r="AT74" s="39">
        <f t="shared" si="121"/>
        <v>0</v>
      </c>
      <c r="AU74" s="40">
        <f>SUM(AC74:$AT$74)</f>
        <v>698816.45000000019</v>
      </c>
      <c r="AV74" s="39">
        <f t="shared" ref="AV74:BQ74" si="132">+AV58</f>
        <v>0</v>
      </c>
      <c r="AW74" s="39">
        <f t="shared" si="132"/>
        <v>0</v>
      </c>
      <c r="AX74" s="39">
        <f t="shared" si="132"/>
        <v>0</v>
      </c>
      <c r="AY74" s="39">
        <f t="shared" si="132"/>
        <v>0</v>
      </c>
      <c r="AZ74" s="39">
        <f t="shared" si="132"/>
        <v>0</v>
      </c>
      <c r="BA74" s="39">
        <f t="shared" si="132"/>
        <v>0</v>
      </c>
      <c r="BB74" s="39">
        <f t="shared" si="132"/>
        <v>0</v>
      </c>
      <c r="BC74" s="39">
        <f t="shared" si="132"/>
        <v>0</v>
      </c>
      <c r="BD74" s="39">
        <f t="shared" si="132"/>
        <v>0</v>
      </c>
      <c r="BE74" s="39">
        <f t="shared" si="132"/>
        <v>0</v>
      </c>
      <c r="BF74" s="39">
        <f t="shared" si="132"/>
        <v>0</v>
      </c>
      <c r="BG74" s="39">
        <f t="shared" si="132"/>
        <v>0</v>
      </c>
      <c r="BH74" s="39">
        <f t="shared" si="132"/>
        <v>0</v>
      </c>
      <c r="BI74" s="39">
        <f t="shared" si="132"/>
        <v>0</v>
      </c>
      <c r="BJ74" s="39">
        <f t="shared" si="132"/>
        <v>0</v>
      </c>
      <c r="BK74" s="39">
        <f t="shared" si="132"/>
        <v>0</v>
      </c>
      <c r="BL74" s="39">
        <f t="shared" si="132"/>
        <v>0</v>
      </c>
      <c r="BM74" s="39">
        <f t="shared" si="132"/>
        <v>0</v>
      </c>
      <c r="BN74" s="39">
        <f t="shared" si="132"/>
        <v>0</v>
      </c>
      <c r="BO74" s="39">
        <f t="shared" si="132"/>
        <v>0</v>
      </c>
      <c r="BP74" s="39">
        <f t="shared" si="132"/>
        <v>0</v>
      </c>
      <c r="BQ74" s="38">
        <f t="shared" si="132"/>
        <v>0</v>
      </c>
      <c r="BR74" s="37" t="e">
        <f>SUM(#REF!)</f>
        <v>#REF!</v>
      </c>
      <c r="BS74" s="36"/>
      <c r="BT74" s="39">
        <f t="shared" ref="BT74:CO74" si="133">+BT58</f>
        <v>0</v>
      </c>
      <c r="BU74" s="39">
        <f t="shared" si="133"/>
        <v>0</v>
      </c>
      <c r="BV74" s="39">
        <f t="shared" si="133"/>
        <v>0</v>
      </c>
      <c r="BW74" s="39">
        <f t="shared" si="133"/>
        <v>0</v>
      </c>
      <c r="BX74" s="39">
        <f t="shared" si="133"/>
        <v>0</v>
      </c>
      <c r="BY74" s="39">
        <f t="shared" si="133"/>
        <v>0</v>
      </c>
      <c r="BZ74" s="39">
        <f t="shared" si="133"/>
        <v>0</v>
      </c>
      <c r="CA74" s="39">
        <f t="shared" si="133"/>
        <v>0</v>
      </c>
      <c r="CB74" s="39">
        <f t="shared" si="133"/>
        <v>0</v>
      </c>
      <c r="CC74" s="39">
        <f t="shared" si="133"/>
        <v>0</v>
      </c>
      <c r="CD74" s="39">
        <f t="shared" si="133"/>
        <v>0</v>
      </c>
      <c r="CE74" s="39">
        <f t="shared" si="133"/>
        <v>0</v>
      </c>
      <c r="CF74" s="39">
        <f t="shared" si="133"/>
        <v>0</v>
      </c>
      <c r="CG74" s="39">
        <f t="shared" si="133"/>
        <v>0</v>
      </c>
      <c r="CH74" s="39">
        <f t="shared" si="133"/>
        <v>0</v>
      </c>
      <c r="CI74" s="39">
        <f t="shared" si="133"/>
        <v>0</v>
      </c>
      <c r="CJ74" s="39">
        <f t="shared" si="133"/>
        <v>0</v>
      </c>
      <c r="CK74" s="39">
        <f t="shared" si="133"/>
        <v>0</v>
      </c>
      <c r="CL74" s="39">
        <f t="shared" si="133"/>
        <v>0</v>
      </c>
      <c r="CM74" s="39">
        <f t="shared" si="133"/>
        <v>0</v>
      </c>
      <c r="CN74" s="39">
        <f t="shared" si="133"/>
        <v>0</v>
      </c>
      <c r="CO74" s="38">
        <f t="shared" si="133"/>
        <v>0</v>
      </c>
      <c r="CP74" s="37">
        <f>SUM(K74:$Z$74)</f>
        <v>4420101.3900000006</v>
      </c>
      <c r="CQ74" s="36"/>
      <c r="CR74" s="39">
        <f t="shared" ref="CR74:DL74" si="134">+CR58</f>
        <v>0</v>
      </c>
      <c r="CS74" s="39">
        <f t="shared" si="134"/>
        <v>0</v>
      </c>
      <c r="CT74" s="39">
        <f t="shared" si="134"/>
        <v>0</v>
      </c>
      <c r="CU74" s="39">
        <f t="shared" si="134"/>
        <v>0</v>
      </c>
      <c r="CV74" s="39">
        <f t="shared" si="134"/>
        <v>0</v>
      </c>
      <c r="CW74" s="39">
        <f t="shared" si="134"/>
        <v>0</v>
      </c>
      <c r="CX74" s="39">
        <f t="shared" si="134"/>
        <v>0</v>
      </c>
      <c r="CY74" s="39">
        <f t="shared" si="134"/>
        <v>0</v>
      </c>
      <c r="CZ74" s="39">
        <f t="shared" si="134"/>
        <v>0</v>
      </c>
      <c r="DA74" s="39">
        <f t="shared" si="134"/>
        <v>0</v>
      </c>
      <c r="DB74" s="39">
        <f t="shared" si="134"/>
        <v>0</v>
      </c>
      <c r="DC74" s="39">
        <f t="shared" si="134"/>
        <v>0</v>
      </c>
      <c r="DD74" s="39">
        <f t="shared" si="134"/>
        <v>0</v>
      </c>
      <c r="DE74" s="39">
        <f t="shared" si="134"/>
        <v>0</v>
      </c>
      <c r="DF74" s="39">
        <f t="shared" si="134"/>
        <v>0</v>
      </c>
      <c r="DG74" s="39">
        <f t="shared" si="134"/>
        <v>0</v>
      </c>
      <c r="DH74" s="39">
        <f t="shared" si="134"/>
        <v>0</v>
      </c>
      <c r="DI74" s="39">
        <f t="shared" si="134"/>
        <v>0</v>
      </c>
      <c r="DJ74" s="39">
        <f t="shared" si="134"/>
        <v>0</v>
      </c>
      <c r="DK74" s="39">
        <f t="shared" si="134"/>
        <v>0</v>
      </c>
      <c r="DL74" s="38">
        <f t="shared" si="134"/>
        <v>0</v>
      </c>
      <c r="DM74" s="37">
        <f>SUM(M74:$Z$74)</f>
        <v>4365722.7100000009</v>
      </c>
      <c r="DN74" s="36"/>
      <c r="DO74" s="39">
        <f t="shared" ref="DO74:EJ74" si="135">+DO58</f>
        <v>0</v>
      </c>
      <c r="DP74" s="39">
        <f t="shared" si="135"/>
        <v>0</v>
      </c>
      <c r="DQ74" s="39">
        <f t="shared" si="135"/>
        <v>0</v>
      </c>
      <c r="DR74" s="39">
        <f t="shared" si="135"/>
        <v>0</v>
      </c>
      <c r="DS74" s="39">
        <f t="shared" si="135"/>
        <v>0</v>
      </c>
      <c r="DT74" s="39">
        <f t="shared" si="135"/>
        <v>0</v>
      </c>
      <c r="DU74" s="39">
        <f t="shared" si="135"/>
        <v>0</v>
      </c>
      <c r="DV74" s="39">
        <f t="shared" si="135"/>
        <v>0</v>
      </c>
      <c r="DW74" s="39">
        <f t="shared" si="135"/>
        <v>0</v>
      </c>
      <c r="DX74" s="39">
        <f t="shared" si="135"/>
        <v>0</v>
      </c>
      <c r="DY74" s="39">
        <f t="shared" si="135"/>
        <v>0</v>
      </c>
      <c r="DZ74" s="39">
        <f t="shared" si="135"/>
        <v>0</v>
      </c>
      <c r="EA74" s="39">
        <f t="shared" si="135"/>
        <v>0</v>
      </c>
      <c r="EB74" s="39">
        <f t="shared" si="135"/>
        <v>0</v>
      </c>
      <c r="EC74" s="39">
        <f t="shared" si="135"/>
        <v>0</v>
      </c>
      <c r="ED74" s="39">
        <f t="shared" si="135"/>
        <v>0</v>
      </c>
      <c r="EE74" s="39">
        <f t="shared" si="135"/>
        <v>0</v>
      </c>
      <c r="EF74" s="39">
        <f t="shared" si="135"/>
        <v>0</v>
      </c>
      <c r="EG74" s="39">
        <f t="shared" si="135"/>
        <v>0</v>
      </c>
      <c r="EH74" s="39">
        <f t="shared" si="135"/>
        <v>0</v>
      </c>
      <c r="EI74" s="39">
        <f t="shared" si="135"/>
        <v>0</v>
      </c>
      <c r="EJ74" s="38">
        <f t="shared" si="135"/>
        <v>0</v>
      </c>
      <c r="EK74" s="37">
        <f>SUM(O74:$Z$74)</f>
        <v>4365722.7100000009</v>
      </c>
      <c r="EL74" s="36"/>
      <c r="EN74" s="21"/>
    </row>
    <row r="75" spans="1:144" s="73" customFormat="1" ht="25" customHeight="1" thickBot="1">
      <c r="A75" s="24"/>
      <c r="B75" s="11"/>
      <c r="C75" s="79"/>
      <c r="D75" s="77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6"/>
      <c r="Z75" s="76"/>
      <c r="AA75" s="77"/>
      <c r="AB75" s="75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180"/>
      <c r="AN75" s="180"/>
      <c r="AO75" s="180"/>
      <c r="AP75" s="180"/>
      <c r="AQ75" s="180"/>
      <c r="AR75" s="180"/>
      <c r="AS75" s="180"/>
      <c r="AT75" s="180"/>
      <c r="AU75" s="77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5"/>
      <c r="BS75" s="75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5"/>
      <c r="CQ75" s="75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5"/>
      <c r="DN75" s="75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5"/>
      <c r="EL75" s="75"/>
      <c r="EN75" s="74"/>
    </row>
    <row r="76" spans="1:144" s="65" customFormat="1" ht="25" customHeight="1">
      <c r="A76" s="24"/>
      <c r="B76" s="11"/>
      <c r="C76" s="72" t="s">
        <v>9</v>
      </c>
      <c r="D76" s="71">
        <f t="shared" ref="D76:X76" si="136">SUM(D77:D84)-D79</f>
        <v>-17891800</v>
      </c>
      <c r="E76" s="70">
        <f t="shared" si="136"/>
        <v>-5871543</v>
      </c>
      <c r="F76" s="70">
        <f t="shared" si="136"/>
        <v>-2857466</v>
      </c>
      <c r="G76" s="70">
        <f t="shared" si="136"/>
        <v>-12693783</v>
      </c>
      <c r="H76" s="70">
        <f t="shared" si="136"/>
        <v>-3663058</v>
      </c>
      <c r="I76" s="70">
        <f t="shared" si="136"/>
        <v>0</v>
      </c>
      <c r="J76" s="70">
        <f t="shared" si="136"/>
        <v>0</v>
      </c>
      <c r="K76" s="70">
        <f t="shared" si="136"/>
        <v>0</v>
      </c>
      <c r="L76" s="70">
        <f t="shared" si="136"/>
        <v>0</v>
      </c>
      <c r="M76" s="70">
        <f t="shared" si="136"/>
        <v>0</v>
      </c>
      <c r="N76" s="70">
        <f t="shared" si="136"/>
        <v>0</v>
      </c>
      <c r="O76" s="70">
        <f t="shared" si="136"/>
        <v>0</v>
      </c>
      <c r="P76" s="70">
        <f t="shared" si="136"/>
        <v>-8584880</v>
      </c>
      <c r="Q76" s="70">
        <f t="shared" si="136"/>
        <v>-17910272</v>
      </c>
      <c r="R76" s="70">
        <f t="shared" si="136"/>
        <v>-21702462</v>
      </c>
      <c r="S76" s="70">
        <f t="shared" si="136"/>
        <v>-26742756</v>
      </c>
      <c r="T76" s="70">
        <f t="shared" si="136"/>
        <v>-51800538</v>
      </c>
      <c r="U76" s="70">
        <f t="shared" si="136"/>
        <v>0</v>
      </c>
      <c r="V76" s="70">
        <f t="shared" si="136"/>
        <v>0</v>
      </c>
      <c r="W76" s="70">
        <f t="shared" si="136"/>
        <v>0</v>
      </c>
      <c r="X76" s="70">
        <f t="shared" si="136"/>
        <v>0</v>
      </c>
      <c r="Z76" s="69">
        <f>SUM(Z77:Z84)-Z79</f>
        <v>0</v>
      </c>
      <c r="AA76" s="71">
        <f>SUM(AA77:AA84)-AA79</f>
        <v>0</v>
      </c>
      <c r="AB76" s="67"/>
      <c r="AC76" s="70">
        <v>0</v>
      </c>
      <c r="AD76" s="70">
        <v>0</v>
      </c>
      <c r="AE76" s="70">
        <v>0</v>
      </c>
      <c r="AF76" s="70">
        <v>0</v>
      </c>
      <c r="AG76" s="70">
        <v>0</v>
      </c>
      <c r="AH76" s="70">
        <v>-3862865</v>
      </c>
      <c r="AI76" s="70">
        <v>-5350007</v>
      </c>
      <c r="AJ76" s="70">
        <v>0</v>
      </c>
      <c r="AK76" s="70">
        <v>0</v>
      </c>
      <c r="AL76" s="70">
        <v>0</v>
      </c>
      <c r="AM76" s="70">
        <f t="shared" ref="AM76:AN76" si="137">SUM(AM77:AM84)-AM79</f>
        <v>0</v>
      </c>
      <c r="AN76" s="70">
        <f t="shared" si="137"/>
        <v>0</v>
      </c>
      <c r="AO76" s="70">
        <f t="shared" ref="AO76" si="138">SUM(AO77:AO84)-AO79</f>
        <v>0</v>
      </c>
      <c r="AP76" s="70">
        <f t="shared" ref="AP76" si="139">SUM(AP77:AP84)-AP79</f>
        <v>0</v>
      </c>
      <c r="AQ76" s="70">
        <f t="shared" ref="AQ76:AT76" si="140">SUM(AQ77:AQ84)-AQ79</f>
        <v>0</v>
      </c>
      <c r="AR76" s="70">
        <f t="shared" ref="AR76:AT76" si="141">SUM(AR77:AR84)-AR79</f>
        <v>0</v>
      </c>
      <c r="AS76" s="70">
        <f t="shared" si="141"/>
        <v>0</v>
      </c>
      <c r="AT76" s="70">
        <f t="shared" si="141"/>
        <v>0</v>
      </c>
      <c r="AU76" s="71">
        <f t="shared" ref="AU76" si="142">SUM(AU77:AU84)-AU79</f>
        <v>0</v>
      </c>
      <c r="AV76" s="70" t="e">
        <f>SUM(AV77:AV84)-#REF!-#REF!-AV79</f>
        <v>#REF!</v>
      </c>
      <c r="AW76" s="70" t="e">
        <f>SUM(AW77:AW84)-#REF!-#REF!-AW79</f>
        <v>#REF!</v>
      </c>
      <c r="AX76" s="70" t="e">
        <f>SUM(AX77:AX84)-#REF!-#REF!-AX79</f>
        <v>#REF!</v>
      </c>
      <c r="AY76" s="70" t="e">
        <f>SUM(AY77:AY84)-#REF!-#REF!-AY79</f>
        <v>#REF!</v>
      </c>
      <c r="AZ76" s="70" t="e">
        <f>SUM(AZ77:AZ84)-#REF!-#REF!-AZ79</f>
        <v>#REF!</v>
      </c>
      <c r="BA76" s="70" t="e">
        <f>SUM(BA77:BA84)-#REF!-#REF!-BA79</f>
        <v>#REF!</v>
      </c>
      <c r="BB76" s="70" t="e">
        <f>SUM(BB77:BB84)-#REF!-#REF!-BB79</f>
        <v>#REF!</v>
      </c>
      <c r="BC76" s="70" t="e">
        <f>SUM(BC77:BC84)-#REF!-#REF!-BC79</f>
        <v>#REF!</v>
      </c>
      <c r="BD76" s="70" t="e">
        <f>SUM(BD77:BD84)-#REF!-#REF!-BD79</f>
        <v>#REF!</v>
      </c>
      <c r="BE76" s="70" t="e">
        <f>SUM(BE77:BE84)-#REF!-#REF!-BE79</f>
        <v>#REF!</v>
      </c>
      <c r="BF76" s="70" t="e">
        <f>SUM(BF77:BF84)-#REF!-#REF!-BF79</f>
        <v>#REF!</v>
      </c>
      <c r="BG76" s="70" t="e">
        <f>SUM(BG77:BG84)-#REF!-#REF!-BG79</f>
        <v>#REF!</v>
      </c>
      <c r="BH76" s="70" t="e">
        <f>SUM(BH77:BH84)-#REF!-#REF!-BH79</f>
        <v>#REF!</v>
      </c>
      <c r="BI76" s="70" t="e">
        <f>SUM(BI77:BI84)-#REF!-#REF!-BI79</f>
        <v>#REF!</v>
      </c>
      <c r="BJ76" s="70" t="e">
        <f>SUM(BJ77:BJ84)-#REF!-#REF!-BJ79</f>
        <v>#REF!</v>
      </c>
      <c r="BK76" s="70" t="e">
        <f>SUM(BK77:BK84)-#REF!-#REF!-BK79</f>
        <v>#REF!</v>
      </c>
      <c r="BL76" s="70" t="e">
        <f>SUM(BL77:BL84)-#REF!-#REF!-BL79</f>
        <v>#REF!</v>
      </c>
      <c r="BM76" s="70" t="e">
        <f>SUM(BM77:BM84)-#REF!-#REF!-BM79</f>
        <v>#REF!</v>
      </c>
      <c r="BN76" s="70" t="e">
        <f>SUM(BN77:BN84)-#REF!-#REF!-BN79</f>
        <v>#REF!</v>
      </c>
      <c r="BO76" s="70" t="e">
        <f>SUM(BO77:BO84)-#REF!-#REF!-BO79</f>
        <v>#REF!</v>
      </c>
      <c r="BP76" s="70" t="e">
        <f>SUM(BP77:BP84)-#REF!-#REF!-BP79</f>
        <v>#REF!</v>
      </c>
      <c r="BQ76" s="69" t="e">
        <f>SUM(BQ77:BQ84)-#REF!-#REF!-BQ79</f>
        <v>#REF!</v>
      </c>
      <c r="BR76" s="68" t="e">
        <f>SUM(BR77:BR83)-#REF!-#REF!-BR79</f>
        <v>#REF!</v>
      </c>
      <c r="BS76" s="67"/>
      <c r="BT76" s="70" t="e">
        <f>SUM(BT77:BT84)-#REF!-#REF!-BT79</f>
        <v>#REF!</v>
      </c>
      <c r="BU76" s="70" t="e">
        <f>SUM(BU77:BU84)-#REF!-#REF!-BU79</f>
        <v>#REF!</v>
      </c>
      <c r="BV76" s="70" t="e">
        <f>SUM(BV77:BV84)-#REF!-#REF!-BV79</f>
        <v>#REF!</v>
      </c>
      <c r="BW76" s="70" t="e">
        <f>SUM(BW77:BW84)-#REF!-#REF!-BW79</f>
        <v>#REF!</v>
      </c>
      <c r="BX76" s="70" t="e">
        <f>SUM(BX77:BX84)-#REF!-#REF!-BX79</f>
        <v>#REF!</v>
      </c>
      <c r="BY76" s="70" t="e">
        <f>SUM(BY77:BY84)-#REF!-#REF!-BY79</f>
        <v>#REF!</v>
      </c>
      <c r="BZ76" s="70" t="e">
        <f>SUM(BZ77:BZ84)-#REF!-#REF!-BZ79</f>
        <v>#REF!</v>
      </c>
      <c r="CA76" s="70" t="e">
        <f>SUM(CA77:CA84)-#REF!-#REF!-CA79</f>
        <v>#REF!</v>
      </c>
      <c r="CB76" s="70" t="e">
        <f>SUM(CB77:CB84)-#REF!-#REF!-CB79</f>
        <v>#REF!</v>
      </c>
      <c r="CC76" s="70" t="e">
        <f>SUM(CC77:CC84)-#REF!-#REF!-CC79</f>
        <v>#REF!</v>
      </c>
      <c r="CD76" s="70" t="e">
        <f>SUM(CD77:CD84)-#REF!-#REF!-CD79</f>
        <v>#REF!</v>
      </c>
      <c r="CE76" s="70" t="e">
        <f>SUM(CE77:CE84)-#REF!-#REF!-CE79</f>
        <v>#REF!</v>
      </c>
      <c r="CF76" s="70" t="e">
        <f>SUM(CF77:CF84)-#REF!-#REF!-CF79</f>
        <v>#REF!</v>
      </c>
      <c r="CG76" s="70" t="e">
        <f>SUM(CG77:CG84)-#REF!-#REF!-CG79</f>
        <v>#REF!</v>
      </c>
      <c r="CH76" s="70" t="e">
        <f>SUM(CH77:CH84)-#REF!-#REF!-CH79</f>
        <v>#REF!</v>
      </c>
      <c r="CI76" s="70" t="e">
        <f>SUM(CI77:CI84)-#REF!-#REF!-CI79</f>
        <v>#REF!</v>
      </c>
      <c r="CJ76" s="70" t="e">
        <f>SUM(CJ77:CJ84)-#REF!-#REF!-CJ79</f>
        <v>#REF!</v>
      </c>
      <c r="CK76" s="70" t="e">
        <f>SUM(CK77:CK84)-#REF!-#REF!-CK79</f>
        <v>#REF!</v>
      </c>
      <c r="CL76" s="70" t="e">
        <f>SUM(CL77:CL84)-#REF!-#REF!-CL79</f>
        <v>#REF!</v>
      </c>
      <c r="CM76" s="70" t="e">
        <f>SUM(CM77:CM84)-#REF!-#REF!-CM79</f>
        <v>#REF!</v>
      </c>
      <c r="CN76" s="70" t="e">
        <f>SUM(CN77:CN84)-#REF!-#REF!-CN79</f>
        <v>#REF!</v>
      </c>
      <c r="CO76" s="69" t="e">
        <f>SUM(CO77:CO84)-#REF!-#REF!-CO79</f>
        <v>#REF!</v>
      </c>
      <c r="CP76" s="68" t="e">
        <f>SUM(CP77:CP83)-#REF!-#REF!-CP79</f>
        <v>#REF!</v>
      </c>
      <c r="CQ76" s="67"/>
      <c r="CR76" s="70" t="e">
        <f>SUM(CR77:CR84)-#REF!-#REF!-CR79</f>
        <v>#REF!</v>
      </c>
      <c r="CS76" s="70" t="e">
        <f>SUM(CS77:CS84)-#REF!-#REF!-CS79</f>
        <v>#REF!</v>
      </c>
      <c r="CT76" s="70" t="e">
        <f>SUM(CT77:CT84)-#REF!-#REF!-CT79</f>
        <v>#REF!</v>
      </c>
      <c r="CU76" s="70" t="e">
        <f>SUM(CU77:CU84)-#REF!-#REF!-CU79</f>
        <v>#REF!</v>
      </c>
      <c r="CV76" s="70" t="e">
        <f>SUM(CV77:CV84)-#REF!-#REF!-CV79</f>
        <v>#REF!</v>
      </c>
      <c r="CW76" s="70" t="e">
        <f>SUM(CW77:CW84)-#REF!-#REF!-CW79</f>
        <v>#REF!</v>
      </c>
      <c r="CX76" s="70" t="e">
        <f>SUM(CX77:CX84)-#REF!-#REF!-CX79</f>
        <v>#REF!</v>
      </c>
      <c r="CY76" s="70" t="e">
        <f>SUM(CY77:CY84)-#REF!-#REF!-CY79</f>
        <v>#REF!</v>
      </c>
      <c r="CZ76" s="70" t="e">
        <f>SUM(CZ77:CZ84)-#REF!-#REF!-CZ79</f>
        <v>#REF!</v>
      </c>
      <c r="DA76" s="70" t="e">
        <f>SUM(DA77:DA84)-#REF!-#REF!-DA79</f>
        <v>#REF!</v>
      </c>
      <c r="DB76" s="70" t="e">
        <f>SUM(DB77:DB84)-#REF!-#REF!-DB79</f>
        <v>#REF!</v>
      </c>
      <c r="DC76" s="70" t="e">
        <f>SUM(DC77:DC84)-#REF!-#REF!-DC79</f>
        <v>#REF!</v>
      </c>
      <c r="DD76" s="70" t="e">
        <f>SUM(DD77:DD84)-#REF!-#REF!-DD79</f>
        <v>#REF!</v>
      </c>
      <c r="DE76" s="70" t="e">
        <f>SUM(DE77:DE84)-#REF!-#REF!-DE79</f>
        <v>#REF!</v>
      </c>
      <c r="DF76" s="70" t="e">
        <f>SUM(DF77:DF84)-#REF!-#REF!-DF79</f>
        <v>#REF!</v>
      </c>
      <c r="DG76" s="70" t="e">
        <f>SUM(DG77:DG84)-#REF!-#REF!-DG79</f>
        <v>#REF!</v>
      </c>
      <c r="DH76" s="70" t="e">
        <f>SUM(DH77:DH84)-#REF!-#REF!-DH79</f>
        <v>#REF!</v>
      </c>
      <c r="DI76" s="70" t="e">
        <f>SUM(DI77:DI84)-#REF!-#REF!-DI79</f>
        <v>#REF!</v>
      </c>
      <c r="DJ76" s="70" t="e">
        <f>SUM(DJ77:DJ84)-#REF!-#REF!-DJ79</f>
        <v>#REF!</v>
      </c>
      <c r="DK76" s="70" t="e">
        <f>SUM(DK77:DK84)-#REF!-#REF!-DK79</f>
        <v>#REF!</v>
      </c>
      <c r="DL76" s="69" t="e">
        <f>SUM(DL77:DL84)-#REF!-#REF!-DL79</f>
        <v>#REF!</v>
      </c>
      <c r="DM76" s="68" t="e">
        <f>SUM(DM77:DM83)-#REF!-#REF!-DM79</f>
        <v>#REF!</v>
      </c>
      <c r="DN76" s="67"/>
      <c r="DO76" s="70" t="e">
        <f>SUM(DO77:DO84)-#REF!-#REF!-DO79</f>
        <v>#REF!</v>
      </c>
      <c r="DP76" s="70" t="e">
        <f>SUM(DP77:DP84)-#REF!-#REF!-DP79</f>
        <v>#REF!</v>
      </c>
      <c r="DQ76" s="70" t="e">
        <f>SUM(DQ77:DQ84)-#REF!-#REF!-DQ79</f>
        <v>#REF!</v>
      </c>
      <c r="DR76" s="70" t="e">
        <f>SUM(DR77:DR84)-#REF!-#REF!-DR79</f>
        <v>#REF!</v>
      </c>
      <c r="DS76" s="70" t="e">
        <f>SUM(DS77:DS84)-#REF!-#REF!-DS79</f>
        <v>#REF!</v>
      </c>
      <c r="DT76" s="70" t="e">
        <f>SUM(DT77:DT84)-#REF!-#REF!-DT79</f>
        <v>#REF!</v>
      </c>
      <c r="DU76" s="70" t="e">
        <f>SUM(DU77:DU84)-#REF!-#REF!-DU79</f>
        <v>#REF!</v>
      </c>
      <c r="DV76" s="70" t="e">
        <f>SUM(DV77:DV84)-#REF!-#REF!-DV79</f>
        <v>#REF!</v>
      </c>
      <c r="DW76" s="70" t="e">
        <f>SUM(DW77:DW84)-#REF!-#REF!-DW79</f>
        <v>#REF!</v>
      </c>
      <c r="DX76" s="70" t="e">
        <f>SUM(DX77:DX84)-#REF!-#REF!-DX79</f>
        <v>#REF!</v>
      </c>
      <c r="DY76" s="70" t="e">
        <f>SUM(DY77:DY84)-#REF!-#REF!-DY79</f>
        <v>#REF!</v>
      </c>
      <c r="DZ76" s="70" t="e">
        <f>SUM(DZ77:DZ84)-#REF!-#REF!-DZ79</f>
        <v>#REF!</v>
      </c>
      <c r="EA76" s="70" t="e">
        <f>SUM(EA77:EA84)-#REF!-#REF!-EA79</f>
        <v>#REF!</v>
      </c>
      <c r="EB76" s="70" t="e">
        <f>SUM(EB77:EB84)-#REF!-#REF!-EB79</f>
        <v>#REF!</v>
      </c>
      <c r="EC76" s="70" t="e">
        <f>SUM(EC77:EC84)-#REF!-#REF!-EC79</f>
        <v>#REF!</v>
      </c>
      <c r="ED76" s="70" t="e">
        <f>SUM(ED77:ED84)-#REF!-#REF!-ED79</f>
        <v>#REF!</v>
      </c>
      <c r="EE76" s="70" t="e">
        <f>SUM(EE77:EE84)-#REF!-#REF!-EE79</f>
        <v>#REF!</v>
      </c>
      <c r="EF76" s="70" t="e">
        <f>SUM(EF77:EF84)-#REF!-#REF!-EF79</f>
        <v>#REF!</v>
      </c>
      <c r="EG76" s="70" t="e">
        <f>SUM(EG77:EG84)-#REF!-#REF!-EG79</f>
        <v>#REF!</v>
      </c>
      <c r="EH76" s="70" t="e">
        <f>SUM(EH77:EH84)-#REF!-#REF!-EH79</f>
        <v>#REF!</v>
      </c>
      <c r="EI76" s="70" t="e">
        <f>SUM(EI77:EI84)-#REF!-#REF!-EI79</f>
        <v>#REF!</v>
      </c>
      <c r="EJ76" s="69" t="e">
        <f>SUM(EJ77:EJ84)-#REF!-#REF!-EJ79</f>
        <v>#REF!</v>
      </c>
      <c r="EK76" s="68" t="e">
        <f>SUM(EK77:EK83)-#REF!-#REF!-EK79</f>
        <v>#REF!</v>
      </c>
      <c r="EL76" s="67"/>
      <c r="EN76" s="66"/>
    </row>
    <row r="77" spans="1:144" s="13" customFormat="1" ht="25" customHeight="1">
      <c r="A77" s="24"/>
      <c r="B77" s="11"/>
      <c r="C77" s="49" t="s">
        <v>8</v>
      </c>
      <c r="D77" s="47">
        <v>-11880580</v>
      </c>
      <c r="E77" s="46">
        <f t="shared" ref="E77:X77" si="143">ROUND((+D77-E45+E61),0)</f>
        <v>-3903434</v>
      </c>
      <c r="F77" s="46">
        <f t="shared" si="143"/>
        <v>-2372737</v>
      </c>
      <c r="G77" s="46">
        <f t="shared" si="143"/>
        <v>-8485951</v>
      </c>
      <c r="H77" s="46">
        <f t="shared" si="143"/>
        <v>-2341140</v>
      </c>
      <c r="I77" s="46">
        <f t="shared" si="143"/>
        <v>0</v>
      </c>
      <c r="J77" s="46">
        <f t="shared" si="143"/>
        <v>0</v>
      </c>
      <c r="K77" s="46">
        <f t="shared" si="143"/>
        <v>0</v>
      </c>
      <c r="L77" s="46">
        <f t="shared" si="143"/>
        <v>0</v>
      </c>
      <c r="M77" s="46">
        <f t="shared" si="143"/>
        <v>0</v>
      </c>
      <c r="N77" s="46">
        <f t="shared" si="143"/>
        <v>0</v>
      </c>
      <c r="O77" s="46">
        <f t="shared" si="143"/>
        <v>0</v>
      </c>
      <c r="P77" s="46">
        <f t="shared" si="143"/>
        <v>-5859679</v>
      </c>
      <c r="Q77" s="46">
        <f t="shared" si="143"/>
        <v>-12059001</v>
      </c>
      <c r="R77" s="46">
        <f t="shared" si="143"/>
        <v>-14707382</v>
      </c>
      <c r="S77" s="46">
        <f t="shared" si="143"/>
        <v>-18219916</v>
      </c>
      <c r="T77" s="46">
        <f t="shared" si="143"/>
        <v>-33965466</v>
      </c>
      <c r="U77" s="46">
        <f t="shared" si="143"/>
        <v>0</v>
      </c>
      <c r="V77" s="46">
        <f t="shared" si="143"/>
        <v>0</v>
      </c>
      <c r="W77" s="46">
        <f t="shared" si="143"/>
        <v>0</v>
      </c>
      <c r="X77" s="46">
        <f t="shared" si="143"/>
        <v>0</v>
      </c>
      <c r="Z77" s="45">
        <f t="shared" ref="Z77:Z83" si="144">ROUND((+X77-Z45+Z61),0)</f>
        <v>0</v>
      </c>
      <c r="AA77" s="47">
        <f t="shared" ref="AA77:AA84" si="145">+Z77</f>
        <v>0</v>
      </c>
      <c r="AB77" s="43"/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-2656322</v>
      </c>
      <c r="AI77" s="46">
        <v>-3574850</v>
      </c>
      <c r="AJ77" s="46">
        <v>0</v>
      </c>
      <c r="AK77" s="46">
        <v>0</v>
      </c>
      <c r="AL77" s="46">
        <v>0</v>
      </c>
      <c r="AM77" s="46">
        <f t="shared" ref="AM77:AT83" si="146">ROUND((+AL77-AM45+AM61),0)</f>
        <v>0</v>
      </c>
      <c r="AN77" s="46">
        <f t="shared" si="146"/>
        <v>0</v>
      </c>
      <c r="AO77" s="46">
        <f t="shared" si="146"/>
        <v>0</v>
      </c>
      <c r="AP77" s="46">
        <f t="shared" si="146"/>
        <v>0</v>
      </c>
      <c r="AQ77" s="46">
        <f t="shared" si="146"/>
        <v>0</v>
      </c>
      <c r="AR77" s="46">
        <f t="shared" si="146"/>
        <v>0</v>
      </c>
      <c r="AS77" s="46">
        <f t="shared" si="146"/>
        <v>0</v>
      </c>
      <c r="AT77" s="46">
        <f t="shared" si="146"/>
        <v>0</v>
      </c>
      <c r="AU77" s="47">
        <f>+$AT$77</f>
        <v>0</v>
      </c>
      <c r="AV77" s="46" t="e">
        <f>ROUND((+#REF!-AV45+AV61),0)</f>
        <v>#REF!</v>
      </c>
      <c r="AW77" s="46" t="e">
        <f t="shared" ref="AW77:BQ77" si="147">ROUND((+AV77-AW45+AW61),0)</f>
        <v>#REF!</v>
      </c>
      <c r="AX77" s="46" t="e">
        <f t="shared" si="147"/>
        <v>#REF!</v>
      </c>
      <c r="AY77" s="46" t="e">
        <f t="shared" si="147"/>
        <v>#REF!</v>
      </c>
      <c r="AZ77" s="46" t="e">
        <f t="shared" si="147"/>
        <v>#REF!</v>
      </c>
      <c r="BA77" s="46" t="e">
        <f t="shared" si="147"/>
        <v>#REF!</v>
      </c>
      <c r="BB77" s="46" t="e">
        <f t="shared" si="147"/>
        <v>#REF!</v>
      </c>
      <c r="BC77" s="46" t="e">
        <f t="shared" si="147"/>
        <v>#REF!</v>
      </c>
      <c r="BD77" s="46" t="e">
        <f t="shared" si="147"/>
        <v>#REF!</v>
      </c>
      <c r="BE77" s="46" t="e">
        <f t="shared" si="147"/>
        <v>#REF!</v>
      </c>
      <c r="BF77" s="46" t="e">
        <f t="shared" si="147"/>
        <v>#REF!</v>
      </c>
      <c r="BG77" s="46" t="e">
        <f t="shared" si="147"/>
        <v>#REF!</v>
      </c>
      <c r="BH77" s="46" t="e">
        <f t="shared" si="147"/>
        <v>#REF!</v>
      </c>
      <c r="BI77" s="46" t="e">
        <f t="shared" si="147"/>
        <v>#REF!</v>
      </c>
      <c r="BJ77" s="46" t="e">
        <f t="shared" si="147"/>
        <v>#REF!</v>
      </c>
      <c r="BK77" s="46" t="e">
        <f t="shared" si="147"/>
        <v>#REF!</v>
      </c>
      <c r="BL77" s="46" t="e">
        <f t="shared" si="147"/>
        <v>#REF!</v>
      </c>
      <c r="BM77" s="46" t="e">
        <f t="shared" si="147"/>
        <v>#REF!</v>
      </c>
      <c r="BN77" s="46" t="e">
        <f t="shared" si="147"/>
        <v>#REF!</v>
      </c>
      <c r="BO77" s="46" t="e">
        <f t="shared" si="147"/>
        <v>#REF!</v>
      </c>
      <c r="BP77" s="46" t="e">
        <f t="shared" si="147"/>
        <v>#REF!</v>
      </c>
      <c r="BQ77" s="45" t="e">
        <f t="shared" si="147"/>
        <v>#REF!</v>
      </c>
      <c r="BR77" s="44" t="e">
        <f t="shared" ref="BR77:BR84" si="148">+BQ77</f>
        <v>#REF!</v>
      </c>
      <c r="BS77" s="43"/>
      <c r="BT77" s="46" t="e">
        <f t="shared" ref="BT77:BT83" si="149">ROUND((+BQ77-BT45+BT61),0)</f>
        <v>#REF!</v>
      </c>
      <c r="BU77" s="46" t="e">
        <f t="shared" ref="BU77:CO77" si="150">ROUND((+BT77-BU45+BU61),0)</f>
        <v>#REF!</v>
      </c>
      <c r="BV77" s="46" t="e">
        <f t="shared" si="150"/>
        <v>#REF!</v>
      </c>
      <c r="BW77" s="46" t="e">
        <f t="shared" si="150"/>
        <v>#REF!</v>
      </c>
      <c r="BX77" s="46" t="e">
        <f t="shared" si="150"/>
        <v>#REF!</v>
      </c>
      <c r="BY77" s="46" t="e">
        <f t="shared" si="150"/>
        <v>#REF!</v>
      </c>
      <c r="BZ77" s="46" t="e">
        <f t="shared" si="150"/>
        <v>#REF!</v>
      </c>
      <c r="CA77" s="46" t="e">
        <f t="shared" si="150"/>
        <v>#REF!</v>
      </c>
      <c r="CB77" s="46" t="e">
        <f t="shared" si="150"/>
        <v>#REF!</v>
      </c>
      <c r="CC77" s="46" t="e">
        <f t="shared" si="150"/>
        <v>#REF!</v>
      </c>
      <c r="CD77" s="46" t="e">
        <f t="shared" si="150"/>
        <v>#REF!</v>
      </c>
      <c r="CE77" s="46" t="e">
        <f t="shared" si="150"/>
        <v>#REF!</v>
      </c>
      <c r="CF77" s="46" t="e">
        <f t="shared" si="150"/>
        <v>#REF!</v>
      </c>
      <c r="CG77" s="46" t="e">
        <f t="shared" si="150"/>
        <v>#REF!</v>
      </c>
      <c r="CH77" s="46" t="e">
        <f t="shared" si="150"/>
        <v>#REF!</v>
      </c>
      <c r="CI77" s="46" t="e">
        <f t="shared" si="150"/>
        <v>#REF!</v>
      </c>
      <c r="CJ77" s="46" t="e">
        <f t="shared" si="150"/>
        <v>#REF!</v>
      </c>
      <c r="CK77" s="46" t="e">
        <f t="shared" si="150"/>
        <v>#REF!</v>
      </c>
      <c r="CL77" s="46" t="e">
        <f t="shared" si="150"/>
        <v>#REF!</v>
      </c>
      <c r="CM77" s="46" t="e">
        <f t="shared" si="150"/>
        <v>#REF!</v>
      </c>
      <c r="CN77" s="46" t="e">
        <f t="shared" si="150"/>
        <v>#REF!</v>
      </c>
      <c r="CO77" s="45" t="e">
        <f t="shared" si="150"/>
        <v>#REF!</v>
      </c>
      <c r="CP77" s="44" t="e">
        <f t="shared" ref="CP77:CP84" si="151">+CO77</f>
        <v>#REF!</v>
      </c>
      <c r="CQ77" s="43"/>
      <c r="CR77" s="46" t="e">
        <f t="shared" ref="CR77:CR83" si="152">ROUND((+CO77-CR45+CR61),0)</f>
        <v>#REF!</v>
      </c>
      <c r="CS77" s="46" t="e">
        <f t="shared" ref="CS77:DL77" si="153">ROUND((+CR77-CS45+CS61),0)</f>
        <v>#REF!</v>
      </c>
      <c r="CT77" s="46" t="e">
        <f t="shared" si="153"/>
        <v>#REF!</v>
      </c>
      <c r="CU77" s="46" t="e">
        <f t="shared" si="153"/>
        <v>#REF!</v>
      </c>
      <c r="CV77" s="46" t="e">
        <f t="shared" si="153"/>
        <v>#REF!</v>
      </c>
      <c r="CW77" s="46" t="e">
        <f t="shared" si="153"/>
        <v>#REF!</v>
      </c>
      <c r="CX77" s="46" t="e">
        <f t="shared" si="153"/>
        <v>#REF!</v>
      </c>
      <c r="CY77" s="46" t="e">
        <f t="shared" si="153"/>
        <v>#REF!</v>
      </c>
      <c r="CZ77" s="46" t="e">
        <f t="shared" si="153"/>
        <v>#REF!</v>
      </c>
      <c r="DA77" s="46" t="e">
        <f t="shared" si="153"/>
        <v>#REF!</v>
      </c>
      <c r="DB77" s="46" t="e">
        <f t="shared" si="153"/>
        <v>#REF!</v>
      </c>
      <c r="DC77" s="46" t="e">
        <f t="shared" si="153"/>
        <v>#REF!</v>
      </c>
      <c r="DD77" s="46" t="e">
        <f t="shared" si="153"/>
        <v>#REF!</v>
      </c>
      <c r="DE77" s="46" t="e">
        <f t="shared" si="153"/>
        <v>#REF!</v>
      </c>
      <c r="DF77" s="46" t="e">
        <f t="shared" si="153"/>
        <v>#REF!</v>
      </c>
      <c r="DG77" s="46" t="e">
        <f t="shared" si="153"/>
        <v>#REF!</v>
      </c>
      <c r="DH77" s="46" t="e">
        <f t="shared" si="153"/>
        <v>#REF!</v>
      </c>
      <c r="DI77" s="46" t="e">
        <f t="shared" si="153"/>
        <v>#REF!</v>
      </c>
      <c r="DJ77" s="46" t="e">
        <f t="shared" si="153"/>
        <v>#REF!</v>
      </c>
      <c r="DK77" s="46" t="e">
        <f t="shared" si="153"/>
        <v>#REF!</v>
      </c>
      <c r="DL77" s="45" t="e">
        <f t="shared" si="153"/>
        <v>#REF!</v>
      </c>
      <c r="DM77" s="44" t="e">
        <f t="shared" ref="DM77:DM84" si="154">+DL77</f>
        <v>#REF!</v>
      </c>
      <c r="DN77" s="43"/>
      <c r="DO77" s="46" t="e">
        <f t="shared" ref="DO77:DO83" si="155">ROUND((+DL77-DO45+DO61),0)</f>
        <v>#REF!</v>
      </c>
      <c r="DP77" s="46" t="e">
        <f t="shared" ref="DP77:EJ77" si="156">ROUND((+DO77-DP45+DP61),0)</f>
        <v>#REF!</v>
      </c>
      <c r="DQ77" s="46" t="e">
        <f t="shared" si="156"/>
        <v>#REF!</v>
      </c>
      <c r="DR77" s="46" t="e">
        <f t="shared" si="156"/>
        <v>#REF!</v>
      </c>
      <c r="DS77" s="46" t="e">
        <f t="shared" si="156"/>
        <v>#REF!</v>
      </c>
      <c r="DT77" s="46" t="e">
        <f t="shared" si="156"/>
        <v>#REF!</v>
      </c>
      <c r="DU77" s="46" t="e">
        <f t="shared" si="156"/>
        <v>#REF!</v>
      </c>
      <c r="DV77" s="46" t="e">
        <f t="shared" si="156"/>
        <v>#REF!</v>
      </c>
      <c r="DW77" s="46" t="e">
        <f t="shared" si="156"/>
        <v>#REF!</v>
      </c>
      <c r="DX77" s="46" t="e">
        <f t="shared" si="156"/>
        <v>#REF!</v>
      </c>
      <c r="DY77" s="46" t="e">
        <f t="shared" si="156"/>
        <v>#REF!</v>
      </c>
      <c r="DZ77" s="46" t="e">
        <f t="shared" si="156"/>
        <v>#REF!</v>
      </c>
      <c r="EA77" s="46" t="e">
        <f t="shared" si="156"/>
        <v>#REF!</v>
      </c>
      <c r="EB77" s="46" t="e">
        <f t="shared" si="156"/>
        <v>#REF!</v>
      </c>
      <c r="EC77" s="46" t="e">
        <f t="shared" si="156"/>
        <v>#REF!</v>
      </c>
      <c r="ED77" s="46" t="e">
        <f t="shared" si="156"/>
        <v>#REF!</v>
      </c>
      <c r="EE77" s="46" t="e">
        <f t="shared" si="156"/>
        <v>#REF!</v>
      </c>
      <c r="EF77" s="46" t="e">
        <f t="shared" si="156"/>
        <v>#REF!</v>
      </c>
      <c r="EG77" s="46" t="e">
        <f t="shared" si="156"/>
        <v>#REF!</v>
      </c>
      <c r="EH77" s="46" t="e">
        <f t="shared" si="156"/>
        <v>#REF!</v>
      </c>
      <c r="EI77" s="46" t="e">
        <f t="shared" si="156"/>
        <v>#REF!</v>
      </c>
      <c r="EJ77" s="45" t="e">
        <f t="shared" si="156"/>
        <v>#REF!</v>
      </c>
      <c r="EK77" s="44" t="e">
        <f t="shared" ref="EK77:EK84" si="157">+EJ77</f>
        <v>#REF!</v>
      </c>
      <c r="EL77" s="43"/>
      <c r="EN77" s="21"/>
    </row>
    <row r="78" spans="1:144" s="13" customFormat="1" ht="25" customHeight="1">
      <c r="A78" s="24"/>
      <c r="B78" s="11"/>
      <c r="C78" s="49" t="s">
        <v>7</v>
      </c>
      <c r="D78" s="64">
        <v>-5972043</v>
      </c>
      <c r="E78" s="46">
        <f t="shared" ref="E78:X78" si="158">ROUND((+D78-E46+E62),0)</f>
        <v>-1947138</v>
      </c>
      <c r="F78" s="46">
        <f t="shared" si="158"/>
        <v>-468862</v>
      </c>
      <c r="G78" s="46">
        <f t="shared" si="158"/>
        <v>-4169201</v>
      </c>
      <c r="H78" s="46">
        <f t="shared" si="158"/>
        <v>-1310262</v>
      </c>
      <c r="I78" s="46">
        <f t="shared" si="158"/>
        <v>0</v>
      </c>
      <c r="J78" s="46">
        <f t="shared" si="158"/>
        <v>0</v>
      </c>
      <c r="K78" s="46">
        <f t="shared" si="158"/>
        <v>0</v>
      </c>
      <c r="L78" s="46">
        <f t="shared" si="158"/>
        <v>0</v>
      </c>
      <c r="M78" s="46">
        <f t="shared" si="158"/>
        <v>0</v>
      </c>
      <c r="N78" s="46">
        <f t="shared" si="158"/>
        <v>0</v>
      </c>
      <c r="O78" s="46">
        <f t="shared" si="158"/>
        <v>0</v>
      </c>
      <c r="P78" s="46">
        <f t="shared" si="158"/>
        <v>-2679156</v>
      </c>
      <c r="Q78" s="46">
        <f t="shared" si="158"/>
        <v>-5792929</v>
      </c>
      <c r="R78" s="46">
        <f t="shared" si="158"/>
        <v>-6936091</v>
      </c>
      <c r="S78" s="46">
        <f t="shared" si="158"/>
        <v>-8452554</v>
      </c>
      <c r="T78" s="46">
        <f t="shared" si="158"/>
        <v>-17164249</v>
      </c>
      <c r="U78" s="46">
        <f t="shared" si="158"/>
        <v>0</v>
      </c>
      <c r="V78" s="46">
        <f t="shared" si="158"/>
        <v>0</v>
      </c>
      <c r="W78" s="46">
        <f t="shared" si="158"/>
        <v>0</v>
      </c>
      <c r="X78" s="46">
        <f t="shared" si="158"/>
        <v>0</v>
      </c>
      <c r="Z78" s="45">
        <f t="shared" si="144"/>
        <v>0</v>
      </c>
      <c r="AA78" s="64">
        <f t="shared" si="145"/>
        <v>0</v>
      </c>
      <c r="AB78" s="62"/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-1197900</v>
      </c>
      <c r="AI78" s="46">
        <v>-1761633</v>
      </c>
      <c r="AJ78" s="46">
        <v>0</v>
      </c>
      <c r="AK78" s="46">
        <v>0</v>
      </c>
      <c r="AL78" s="46">
        <v>0</v>
      </c>
      <c r="AM78" s="46">
        <f t="shared" si="146"/>
        <v>0</v>
      </c>
      <c r="AN78" s="46">
        <f t="shared" si="146"/>
        <v>0</v>
      </c>
      <c r="AO78" s="46">
        <f t="shared" si="146"/>
        <v>0</v>
      </c>
      <c r="AP78" s="46">
        <f t="shared" si="146"/>
        <v>0</v>
      </c>
      <c r="AQ78" s="46">
        <f t="shared" si="146"/>
        <v>0</v>
      </c>
      <c r="AR78" s="46">
        <f t="shared" si="146"/>
        <v>0</v>
      </c>
      <c r="AS78" s="46">
        <f t="shared" si="146"/>
        <v>0</v>
      </c>
      <c r="AT78" s="46">
        <f t="shared" si="146"/>
        <v>0</v>
      </c>
      <c r="AU78" s="64">
        <f>+$AT$78</f>
        <v>0</v>
      </c>
      <c r="AV78" s="46" t="e">
        <f>ROUND((+#REF!-AV46+AV62),0)</f>
        <v>#REF!</v>
      </c>
      <c r="AW78" s="46" t="e">
        <f t="shared" ref="AW78:BQ78" si="159">ROUND((+AV78-AW46+AW62),0)</f>
        <v>#REF!</v>
      </c>
      <c r="AX78" s="46" t="e">
        <f t="shared" si="159"/>
        <v>#REF!</v>
      </c>
      <c r="AY78" s="46" t="e">
        <f t="shared" si="159"/>
        <v>#REF!</v>
      </c>
      <c r="AZ78" s="46" t="e">
        <f t="shared" si="159"/>
        <v>#REF!</v>
      </c>
      <c r="BA78" s="46" t="e">
        <f t="shared" si="159"/>
        <v>#REF!</v>
      </c>
      <c r="BB78" s="46" t="e">
        <f t="shared" si="159"/>
        <v>#REF!</v>
      </c>
      <c r="BC78" s="46" t="e">
        <f t="shared" si="159"/>
        <v>#REF!</v>
      </c>
      <c r="BD78" s="46" t="e">
        <f t="shared" si="159"/>
        <v>#REF!</v>
      </c>
      <c r="BE78" s="46" t="e">
        <f t="shared" si="159"/>
        <v>#REF!</v>
      </c>
      <c r="BF78" s="46" t="e">
        <f t="shared" si="159"/>
        <v>#REF!</v>
      </c>
      <c r="BG78" s="46" t="e">
        <f t="shared" si="159"/>
        <v>#REF!</v>
      </c>
      <c r="BH78" s="46" t="e">
        <f t="shared" si="159"/>
        <v>#REF!</v>
      </c>
      <c r="BI78" s="46" t="e">
        <f t="shared" si="159"/>
        <v>#REF!</v>
      </c>
      <c r="BJ78" s="46" t="e">
        <f t="shared" si="159"/>
        <v>#REF!</v>
      </c>
      <c r="BK78" s="46" t="e">
        <f t="shared" si="159"/>
        <v>#REF!</v>
      </c>
      <c r="BL78" s="46" t="e">
        <f t="shared" si="159"/>
        <v>#REF!</v>
      </c>
      <c r="BM78" s="46" t="e">
        <f t="shared" si="159"/>
        <v>#REF!</v>
      </c>
      <c r="BN78" s="46" t="e">
        <f t="shared" si="159"/>
        <v>#REF!</v>
      </c>
      <c r="BO78" s="46" t="e">
        <f t="shared" si="159"/>
        <v>#REF!</v>
      </c>
      <c r="BP78" s="46" t="e">
        <f t="shared" si="159"/>
        <v>#REF!</v>
      </c>
      <c r="BQ78" s="45" t="e">
        <f t="shared" si="159"/>
        <v>#REF!</v>
      </c>
      <c r="BR78" s="63" t="e">
        <f t="shared" si="148"/>
        <v>#REF!</v>
      </c>
      <c r="BS78" s="62"/>
      <c r="BT78" s="46" t="e">
        <f t="shared" si="149"/>
        <v>#REF!</v>
      </c>
      <c r="BU78" s="46" t="e">
        <f t="shared" ref="BU78:CO78" si="160">ROUND((+BT78-BU46+BU62),0)</f>
        <v>#REF!</v>
      </c>
      <c r="BV78" s="46" t="e">
        <f t="shared" si="160"/>
        <v>#REF!</v>
      </c>
      <c r="BW78" s="46" t="e">
        <f t="shared" si="160"/>
        <v>#REF!</v>
      </c>
      <c r="BX78" s="46" t="e">
        <f t="shared" si="160"/>
        <v>#REF!</v>
      </c>
      <c r="BY78" s="46" t="e">
        <f t="shared" si="160"/>
        <v>#REF!</v>
      </c>
      <c r="BZ78" s="46" t="e">
        <f t="shared" si="160"/>
        <v>#REF!</v>
      </c>
      <c r="CA78" s="46" t="e">
        <f t="shared" si="160"/>
        <v>#REF!</v>
      </c>
      <c r="CB78" s="46" t="e">
        <f t="shared" si="160"/>
        <v>#REF!</v>
      </c>
      <c r="CC78" s="46" t="e">
        <f t="shared" si="160"/>
        <v>#REF!</v>
      </c>
      <c r="CD78" s="46" t="e">
        <f t="shared" si="160"/>
        <v>#REF!</v>
      </c>
      <c r="CE78" s="46" t="e">
        <f t="shared" si="160"/>
        <v>#REF!</v>
      </c>
      <c r="CF78" s="46" t="e">
        <f t="shared" si="160"/>
        <v>#REF!</v>
      </c>
      <c r="CG78" s="46" t="e">
        <f t="shared" si="160"/>
        <v>#REF!</v>
      </c>
      <c r="CH78" s="46" t="e">
        <f t="shared" si="160"/>
        <v>#REF!</v>
      </c>
      <c r="CI78" s="46" t="e">
        <f t="shared" si="160"/>
        <v>#REF!</v>
      </c>
      <c r="CJ78" s="46" t="e">
        <f t="shared" si="160"/>
        <v>#REF!</v>
      </c>
      <c r="CK78" s="46" t="e">
        <f t="shared" si="160"/>
        <v>#REF!</v>
      </c>
      <c r="CL78" s="46" t="e">
        <f t="shared" si="160"/>
        <v>#REF!</v>
      </c>
      <c r="CM78" s="46" t="e">
        <f t="shared" si="160"/>
        <v>#REF!</v>
      </c>
      <c r="CN78" s="46" t="e">
        <f t="shared" si="160"/>
        <v>#REF!</v>
      </c>
      <c r="CO78" s="45" t="e">
        <f t="shared" si="160"/>
        <v>#REF!</v>
      </c>
      <c r="CP78" s="63" t="e">
        <f t="shared" si="151"/>
        <v>#REF!</v>
      </c>
      <c r="CQ78" s="62"/>
      <c r="CR78" s="46" t="e">
        <f t="shared" si="152"/>
        <v>#REF!</v>
      </c>
      <c r="CS78" s="46" t="e">
        <f t="shared" ref="CS78:DL78" si="161">ROUND((+CR78-CS46+CS62),0)</f>
        <v>#REF!</v>
      </c>
      <c r="CT78" s="46" t="e">
        <f t="shared" si="161"/>
        <v>#REF!</v>
      </c>
      <c r="CU78" s="46" t="e">
        <f t="shared" si="161"/>
        <v>#REF!</v>
      </c>
      <c r="CV78" s="46" t="e">
        <f t="shared" si="161"/>
        <v>#REF!</v>
      </c>
      <c r="CW78" s="46" t="e">
        <f t="shared" si="161"/>
        <v>#REF!</v>
      </c>
      <c r="CX78" s="46" t="e">
        <f t="shared" si="161"/>
        <v>#REF!</v>
      </c>
      <c r="CY78" s="46" t="e">
        <f t="shared" si="161"/>
        <v>#REF!</v>
      </c>
      <c r="CZ78" s="46" t="e">
        <f t="shared" si="161"/>
        <v>#REF!</v>
      </c>
      <c r="DA78" s="46" t="e">
        <f t="shared" si="161"/>
        <v>#REF!</v>
      </c>
      <c r="DB78" s="46" t="e">
        <f t="shared" si="161"/>
        <v>#REF!</v>
      </c>
      <c r="DC78" s="46" t="e">
        <f t="shared" si="161"/>
        <v>#REF!</v>
      </c>
      <c r="DD78" s="46" t="e">
        <f t="shared" si="161"/>
        <v>#REF!</v>
      </c>
      <c r="DE78" s="46" t="e">
        <f t="shared" si="161"/>
        <v>#REF!</v>
      </c>
      <c r="DF78" s="46" t="e">
        <f t="shared" si="161"/>
        <v>#REF!</v>
      </c>
      <c r="DG78" s="46" t="e">
        <f t="shared" si="161"/>
        <v>#REF!</v>
      </c>
      <c r="DH78" s="46" t="e">
        <f t="shared" si="161"/>
        <v>#REF!</v>
      </c>
      <c r="DI78" s="46" t="e">
        <f t="shared" si="161"/>
        <v>#REF!</v>
      </c>
      <c r="DJ78" s="46" t="e">
        <f t="shared" si="161"/>
        <v>#REF!</v>
      </c>
      <c r="DK78" s="46" t="e">
        <f t="shared" si="161"/>
        <v>#REF!</v>
      </c>
      <c r="DL78" s="45" t="e">
        <f t="shared" si="161"/>
        <v>#REF!</v>
      </c>
      <c r="DM78" s="63" t="e">
        <f t="shared" si="154"/>
        <v>#REF!</v>
      </c>
      <c r="DN78" s="62"/>
      <c r="DO78" s="46" t="e">
        <f t="shared" si="155"/>
        <v>#REF!</v>
      </c>
      <c r="DP78" s="46" t="e">
        <f t="shared" ref="DP78:EJ78" si="162">ROUND((+DO78-DP46+DP62),0)</f>
        <v>#REF!</v>
      </c>
      <c r="DQ78" s="46" t="e">
        <f t="shared" si="162"/>
        <v>#REF!</v>
      </c>
      <c r="DR78" s="46" t="e">
        <f t="shared" si="162"/>
        <v>#REF!</v>
      </c>
      <c r="DS78" s="46" t="e">
        <f t="shared" si="162"/>
        <v>#REF!</v>
      </c>
      <c r="DT78" s="46" t="e">
        <f t="shared" si="162"/>
        <v>#REF!</v>
      </c>
      <c r="DU78" s="46" t="e">
        <f t="shared" si="162"/>
        <v>#REF!</v>
      </c>
      <c r="DV78" s="46" t="e">
        <f t="shared" si="162"/>
        <v>#REF!</v>
      </c>
      <c r="DW78" s="46" t="e">
        <f t="shared" si="162"/>
        <v>#REF!</v>
      </c>
      <c r="DX78" s="46" t="e">
        <f t="shared" si="162"/>
        <v>#REF!</v>
      </c>
      <c r="DY78" s="46" t="e">
        <f t="shared" si="162"/>
        <v>#REF!</v>
      </c>
      <c r="DZ78" s="46" t="e">
        <f t="shared" si="162"/>
        <v>#REF!</v>
      </c>
      <c r="EA78" s="46" t="e">
        <f t="shared" si="162"/>
        <v>#REF!</v>
      </c>
      <c r="EB78" s="46" t="e">
        <f t="shared" si="162"/>
        <v>#REF!</v>
      </c>
      <c r="EC78" s="46" t="e">
        <f t="shared" si="162"/>
        <v>#REF!</v>
      </c>
      <c r="ED78" s="46" t="e">
        <f t="shared" si="162"/>
        <v>#REF!</v>
      </c>
      <c r="EE78" s="46" t="e">
        <f t="shared" si="162"/>
        <v>#REF!</v>
      </c>
      <c r="EF78" s="46" t="e">
        <f t="shared" si="162"/>
        <v>#REF!</v>
      </c>
      <c r="EG78" s="46" t="e">
        <f t="shared" si="162"/>
        <v>#REF!</v>
      </c>
      <c r="EH78" s="46" t="e">
        <f t="shared" si="162"/>
        <v>#REF!</v>
      </c>
      <c r="EI78" s="46" t="e">
        <f t="shared" si="162"/>
        <v>#REF!</v>
      </c>
      <c r="EJ78" s="45" t="e">
        <f t="shared" si="162"/>
        <v>#REF!</v>
      </c>
      <c r="EK78" s="63" t="e">
        <f t="shared" si="157"/>
        <v>#REF!</v>
      </c>
      <c r="EL78" s="62"/>
      <c r="EN78" s="21"/>
    </row>
    <row r="79" spans="1:144" s="13" customFormat="1" ht="25" customHeight="1">
      <c r="A79" s="61" t="s">
        <v>6</v>
      </c>
      <c r="B79" s="60"/>
      <c r="C79" s="59" t="s">
        <v>5</v>
      </c>
      <c r="D79" s="58">
        <v>-3819497</v>
      </c>
      <c r="E79" s="57">
        <f t="shared" ref="E79:X79" si="163">ROUND((+D79-E47+E63),0)</f>
        <v>-1527256</v>
      </c>
      <c r="F79" s="57">
        <f t="shared" si="163"/>
        <v>-71081</v>
      </c>
      <c r="G79" s="57">
        <f t="shared" si="163"/>
        <v>0</v>
      </c>
      <c r="H79" s="57">
        <f t="shared" si="163"/>
        <v>-537620</v>
      </c>
      <c r="I79" s="57">
        <f t="shared" si="163"/>
        <v>0</v>
      </c>
      <c r="J79" s="57">
        <f t="shared" si="163"/>
        <v>0</v>
      </c>
      <c r="K79" s="57">
        <f t="shared" si="163"/>
        <v>0</v>
      </c>
      <c r="L79" s="57">
        <f t="shared" si="163"/>
        <v>0</v>
      </c>
      <c r="M79" s="57">
        <f t="shared" si="163"/>
        <v>0</v>
      </c>
      <c r="N79" s="57">
        <f t="shared" si="163"/>
        <v>0</v>
      </c>
      <c r="O79" s="57">
        <f t="shared" si="163"/>
        <v>0</v>
      </c>
      <c r="P79" s="57">
        <f t="shared" si="163"/>
        <v>0</v>
      </c>
      <c r="Q79" s="57">
        <f t="shared" si="163"/>
        <v>-1672359</v>
      </c>
      <c r="R79" s="57">
        <f t="shared" si="163"/>
        <v>-2220762</v>
      </c>
      <c r="S79" s="57">
        <f t="shared" si="163"/>
        <v>-2703590</v>
      </c>
      <c r="T79" s="57">
        <f t="shared" si="163"/>
        <v>-1886171</v>
      </c>
      <c r="U79" s="57">
        <f t="shared" si="163"/>
        <v>0</v>
      </c>
      <c r="V79" s="57">
        <f t="shared" si="163"/>
        <v>0</v>
      </c>
      <c r="W79" s="57">
        <f t="shared" si="163"/>
        <v>0</v>
      </c>
      <c r="X79" s="57">
        <f t="shared" si="163"/>
        <v>0</v>
      </c>
      <c r="Z79" s="56">
        <f t="shared" si="144"/>
        <v>0</v>
      </c>
      <c r="AA79" s="58">
        <f t="shared" si="145"/>
        <v>0</v>
      </c>
      <c r="AB79" s="50"/>
      <c r="AC79" s="57">
        <v>0</v>
      </c>
      <c r="AD79" s="57">
        <v>0</v>
      </c>
      <c r="AE79" s="57">
        <v>0</v>
      </c>
      <c r="AF79" s="57">
        <v>0</v>
      </c>
      <c r="AG79" s="57">
        <v>0</v>
      </c>
      <c r="AH79" s="57">
        <v>0</v>
      </c>
      <c r="AI79" s="57">
        <v>-99868</v>
      </c>
      <c r="AJ79" s="57">
        <v>0</v>
      </c>
      <c r="AK79" s="57">
        <v>0</v>
      </c>
      <c r="AL79" s="57">
        <v>0</v>
      </c>
      <c r="AM79" s="57">
        <f t="shared" si="146"/>
        <v>0</v>
      </c>
      <c r="AN79" s="57">
        <f t="shared" si="146"/>
        <v>0</v>
      </c>
      <c r="AO79" s="57">
        <f t="shared" si="146"/>
        <v>0</v>
      </c>
      <c r="AP79" s="57">
        <f t="shared" si="146"/>
        <v>0</v>
      </c>
      <c r="AQ79" s="57">
        <f t="shared" si="146"/>
        <v>0</v>
      </c>
      <c r="AR79" s="57">
        <f t="shared" si="146"/>
        <v>0</v>
      </c>
      <c r="AS79" s="57">
        <f t="shared" si="146"/>
        <v>0</v>
      </c>
      <c r="AT79" s="57">
        <f t="shared" si="146"/>
        <v>0</v>
      </c>
      <c r="AU79" s="58">
        <f>+$AT$79</f>
        <v>0</v>
      </c>
      <c r="AV79" s="57" t="e">
        <f>ROUND((+#REF!-AV47+AV63),0)</f>
        <v>#REF!</v>
      </c>
      <c r="AW79" s="57" t="e">
        <f t="shared" ref="AW79:BQ79" si="164">ROUND((+AV79-AW47+AW63),0)</f>
        <v>#REF!</v>
      </c>
      <c r="AX79" s="57" t="e">
        <f t="shared" si="164"/>
        <v>#REF!</v>
      </c>
      <c r="AY79" s="57" t="e">
        <f t="shared" si="164"/>
        <v>#REF!</v>
      </c>
      <c r="AZ79" s="57" t="e">
        <f t="shared" si="164"/>
        <v>#REF!</v>
      </c>
      <c r="BA79" s="57" t="e">
        <f t="shared" si="164"/>
        <v>#REF!</v>
      </c>
      <c r="BB79" s="57" t="e">
        <f t="shared" si="164"/>
        <v>#REF!</v>
      </c>
      <c r="BC79" s="57" t="e">
        <f t="shared" si="164"/>
        <v>#REF!</v>
      </c>
      <c r="BD79" s="57" t="e">
        <f t="shared" si="164"/>
        <v>#REF!</v>
      </c>
      <c r="BE79" s="57" t="e">
        <f t="shared" si="164"/>
        <v>#REF!</v>
      </c>
      <c r="BF79" s="57" t="e">
        <f t="shared" si="164"/>
        <v>#REF!</v>
      </c>
      <c r="BG79" s="57" t="e">
        <f t="shared" si="164"/>
        <v>#REF!</v>
      </c>
      <c r="BH79" s="57" t="e">
        <f t="shared" si="164"/>
        <v>#REF!</v>
      </c>
      <c r="BI79" s="57" t="e">
        <f t="shared" si="164"/>
        <v>#REF!</v>
      </c>
      <c r="BJ79" s="57" t="e">
        <f t="shared" si="164"/>
        <v>#REF!</v>
      </c>
      <c r="BK79" s="57" t="e">
        <f t="shared" si="164"/>
        <v>#REF!</v>
      </c>
      <c r="BL79" s="57" t="e">
        <f t="shared" si="164"/>
        <v>#REF!</v>
      </c>
      <c r="BM79" s="57" t="e">
        <f t="shared" si="164"/>
        <v>#REF!</v>
      </c>
      <c r="BN79" s="57" t="e">
        <f t="shared" si="164"/>
        <v>#REF!</v>
      </c>
      <c r="BO79" s="57" t="e">
        <f t="shared" si="164"/>
        <v>#REF!</v>
      </c>
      <c r="BP79" s="57" t="e">
        <f t="shared" si="164"/>
        <v>#REF!</v>
      </c>
      <c r="BQ79" s="56" t="e">
        <f t="shared" si="164"/>
        <v>#REF!</v>
      </c>
      <c r="BR79" s="51" t="e">
        <f t="shared" si="148"/>
        <v>#REF!</v>
      </c>
      <c r="BS79" s="50"/>
      <c r="BT79" s="57" t="e">
        <f t="shared" si="149"/>
        <v>#REF!</v>
      </c>
      <c r="BU79" s="57" t="e">
        <f t="shared" ref="BU79:CO79" si="165">ROUND((+BT79-BU47+BU63),0)</f>
        <v>#REF!</v>
      </c>
      <c r="BV79" s="57" t="e">
        <f t="shared" si="165"/>
        <v>#REF!</v>
      </c>
      <c r="BW79" s="57" t="e">
        <f t="shared" si="165"/>
        <v>#REF!</v>
      </c>
      <c r="BX79" s="57" t="e">
        <f t="shared" si="165"/>
        <v>#REF!</v>
      </c>
      <c r="BY79" s="57" t="e">
        <f t="shared" si="165"/>
        <v>#REF!</v>
      </c>
      <c r="BZ79" s="57" t="e">
        <f t="shared" si="165"/>
        <v>#REF!</v>
      </c>
      <c r="CA79" s="57" t="e">
        <f t="shared" si="165"/>
        <v>#REF!</v>
      </c>
      <c r="CB79" s="57" t="e">
        <f t="shared" si="165"/>
        <v>#REF!</v>
      </c>
      <c r="CC79" s="57" t="e">
        <f t="shared" si="165"/>
        <v>#REF!</v>
      </c>
      <c r="CD79" s="57" t="e">
        <f t="shared" si="165"/>
        <v>#REF!</v>
      </c>
      <c r="CE79" s="57" t="e">
        <f t="shared" si="165"/>
        <v>#REF!</v>
      </c>
      <c r="CF79" s="57" t="e">
        <f t="shared" si="165"/>
        <v>#REF!</v>
      </c>
      <c r="CG79" s="57" t="e">
        <f t="shared" si="165"/>
        <v>#REF!</v>
      </c>
      <c r="CH79" s="57" t="e">
        <f t="shared" si="165"/>
        <v>#REF!</v>
      </c>
      <c r="CI79" s="57" t="e">
        <f t="shared" si="165"/>
        <v>#REF!</v>
      </c>
      <c r="CJ79" s="57" t="e">
        <f t="shared" si="165"/>
        <v>#REF!</v>
      </c>
      <c r="CK79" s="57" t="e">
        <f t="shared" si="165"/>
        <v>#REF!</v>
      </c>
      <c r="CL79" s="57" t="e">
        <f t="shared" si="165"/>
        <v>#REF!</v>
      </c>
      <c r="CM79" s="57" t="e">
        <f t="shared" si="165"/>
        <v>#REF!</v>
      </c>
      <c r="CN79" s="57" t="e">
        <f t="shared" si="165"/>
        <v>#REF!</v>
      </c>
      <c r="CO79" s="56" t="e">
        <f t="shared" si="165"/>
        <v>#REF!</v>
      </c>
      <c r="CP79" s="51" t="e">
        <f t="shared" si="151"/>
        <v>#REF!</v>
      </c>
      <c r="CQ79" s="50"/>
      <c r="CR79" s="57" t="e">
        <f t="shared" si="152"/>
        <v>#REF!</v>
      </c>
      <c r="CS79" s="57" t="e">
        <f t="shared" ref="CS79:DL79" si="166">ROUND((+CR79-CS47+CS63),0)</f>
        <v>#REF!</v>
      </c>
      <c r="CT79" s="57" t="e">
        <f t="shared" si="166"/>
        <v>#REF!</v>
      </c>
      <c r="CU79" s="57" t="e">
        <f t="shared" si="166"/>
        <v>#REF!</v>
      </c>
      <c r="CV79" s="57" t="e">
        <f t="shared" si="166"/>
        <v>#REF!</v>
      </c>
      <c r="CW79" s="57" t="e">
        <f t="shared" si="166"/>
        <v>#REF!</v>
      </c>
      <c r="CX79" s="57" t="e">
        <f t="shared" si="166"/>
        <v>#REF!</v>
      </c>
      <c r="CY79" s="57" t="e">
        <f t="shared" si="166"/>
        <v>#REF!</v>
      </c>
      <c r="CZ79" s="57" t="e">
        <f t="shared" si="166"/>
        <v>#REF!</v>
      </c>
      <c r="DA79" s="57" t="e">
        <f t="shared" si="166"/>
        <v>#REF!</v>
      </c>
      <c r="DB79" s="57" t="e">
        <f t="shared" si="166"/>
        <v>#REF!</v>
      </c>
      <c r="DC79" s="57" t="e">
        <f t="shared" si="166"/>
        <v>#REF!</v>
      </c>
      <c r="DD79" s="57" t="e">
        <f t="shared" si="166"/>
        <v>#REF!</v>
      </c>
      <c r="DE79" s="57" t="e">
        <f t="shared" si="166"/>
        <v>#REF!</v>
      </c>
      <c r="DF79" s="57" t="e">
        <f t="shared" si="166"/>
        <v>#REF!</v>
      </c>
      <c r="DG79" s="57" t="e">
        <f t="shared" si="166"/>
        <v>#REF!</v>
      </c>
      <c r="DH79" s="57" t="e">
        <f t="shared" si="166"/>
        <v>#REF!</v>
      </c>
      <c r="DI79" s="57" t="e">
        <f t="shared" si="166"/>
        <v>#REF!</v>
      </c>
      <c r="DJ79" s="57" t="e">
        <f t="shared" si="166"/>
        <v>#REF!</v>
      </c>
      <c r="DK79" s="57" t="e">
        <f t="shared" si="166"/>
        <v>#REF!</v>
      </c>
      <c r="DL79" s="56" t="e">
        <f t="shared" si="166"/>
        <v>#REF!</v>
      </c>
      <c r="DM79" s="51" t="e">
        <f t="shared" si="154"/>
        <v>#REF!</v>
      </c>
      <c r="DN79" s="50"/>
      <c r="DO79" s="57" t="e">
        <f t="shared" si="155"/>
        <v>#REF!</v>
      </c>
      <c r="DP79" s="57" t="e">
        <f t="shared" ref="DP79:EJ79" si="167">ROUND((+DO79-DP47+DP63),0)</f>
        <v>#REF!</v>
      </c>
      <c r="DQ79" s="57" t="e">
        <f t="shared" si="167"/>
        <v>#REF!</v>
      </c>
      <c r="DR79" s="57" t="e">
        <f t="shared" si="167"/>
        <v>#REF!</v>
      </c>
      <c r="DS79" s="57" t="e">
        <f t="shared" si="167"/>
        <v>#REF!</v>
      </c>
      <c r="DT79" s="57" t="e">
        <f t="shared" si="167"/>
        <v>#REF!</v>
      </c>
      <c r="DU79" s="57" t="e">
        <f t="shared" si="167"/>
        <v>#REF!</v>
      </c>
      <c r="DV79" s="57" t="e">
        <f t="shared" si="167"/>
        <v>#REF!</v>
      </c>
      <c r="DW79" s="57" t="e">
        <f t="shared" si="167"/>
        <v>#REF!</v>
      </c>
      <c r="DX79" s="57" t="e">
        <f t="shared" si="167"/>
        <v>#REF!</v>
      </c>
      <c r="DY79" s="57" t="e">
        <f t="shared" si="167"/>
        <v>#REF!</v>
      </c>
      <c r="DZ79" s="57" t="e">
        <f t="shared" si="167"/>
        <v>#REF!</v>
      </c>
      <c r="EA79" s="57" t="e">
        <f t="shared" si="167"/>
        <v>#REF!</v>
      </c>
      <c r="EB79" s="57" t="e">
        <f t="shared" si="167"/>
        <v>#REF!</v>
      </c>
      <c r="EC79" s="57" t="e">
        <f t="shared" si="167"/>
        <v>#REF!</v>
      </c>
      <c r="ED79" s="57" t="e">
        <f t="shared" si="167"/>
        <v>#REF!</v>
      </c>
      <c r="EE79" s="57" t="e">
        <f t="shared" si="167"/>
        <v>#REF!</v>
      </c>
      <c r="EF79" s="57" t="e">
        <f t="shared" si="167"/>
        <v>#REF!</v>
      </c>
      <c r="EG79" s="57" t="e">
        <f t="shared" si="167"/>
        <v>#REF!</v>
      </c>
      <c r="EH79" s="57" t="e">
        <f t="shared" si="167"/>
        <v>#REF!</v>
      </c>
      <c r="EI79" s="57" t="e">
        <f t="shared" si="167"/>
        <v>#REF!</v>
      </c>
      <c r="EJ79" s="56" t="e">
        <f t="shared" si="167"/>
        <v>#REF!</v>
      </c>
      <c r="EK79" s="51" t="e">
        <f t="shared" si="157"/>
        <v>#REF!</v>
      </c>
      <c r="EL79" s="50"/>
    </row>
    <row r="80" spans="1:144" s="13" customFormat="1" ht="25" customHeight="1">
      <c r="A80" s="24"/>
      <c r="B80" s="11"/>
      <c r="C80" s="49" t="s">
        <v>4</v>
      </c>
      <c r="D80" s="47">
        <v>-4462</v>
      </c>
      <c r="E80" s="46">
        <f t="shared" ref="E80:X80" si="168">ROUND((+D80-E48+E64),0)</f>
        <v>-6419</v>
      </c>
      <c r="F80" s="46">
        <f t="shared" si="168"/>
        <v>-3432</v>
      </c>
      <c r="G80" s="46">
        <f t="shared" si="168"/>
        <v>-6264</v>
      </c>
      <c r="H80" s="46">
        <f t="shared" si="168"/>
        <v>-1050</v>
      </c>
      <c r="I80" s="46">
        <f t="shared" si="168"/>
        <v>0</v>
      </c>
      <c r="J80" s="46">
        <f t="shared" si="168"/>
        <v>0</v>
      </c>
      <c r="K80" s="46">
        <f t="shared" si="168"/>
        <v>0</v>
      </c>
      <c r="L80" s="46">
        <f t="shared" si="168"/>
        <v>0</v>
      </c>
      <c r="M80" s="46">
        <f t="shared" si="168"/>
        <v>0</v>
      </c>
      <c r="N80" s="46">
        <f t="shared" si="168"/>
        <v>0</v>
      </c>
      <c r="O80" s="46">
        <f t="shared" si="168"/>
        <v>0</v>
      </c>
      <c r="P80" s="46">
        <f t="shared" si="168"/>
        <v>-1870</v>
      </c>
      <c r="Q80" s="46">
        <f t="shared" si="168"/>
        <v>-3815</v>
      </c>
      <c r="R80" s="46">
        <f t="shared" si="168"/>
        <v>-4564</v>
      </c>
      <c r="S80" s="46">
        <f t="shared" si="168"/>
        <v>-5559</v>
      </c>
      <c r="T80" s="46">
        <f t="shared" si="168"/>
        <v>-14175</v>
      </c>
      <c r="U80" s="46">
        <f t="shared" si="168"/>
        <v>0</v>
      </c>
      <c r="V80" s="46">
        <f t="shared" si="168"/>
        <v>0</v>
      </c>
      <c r="W80" s="46">
        <f t="shared" si="168"/>
        <v>0</v>
      </c>
      <c r="X80" s="46">
        <f t="shared" si="168"/>
        <v>0</v>
      </c>
      <c r="Z80" s="45">
        <f t="shared" si="144"/>
        <v>0</v>
      </c>
      <c r="AA80" s="47">
        <f t="shared" si="145"/>
        <v>0</v>
      </c>
      <c r="AB80" s="43"/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-874</v>
      </c>
      <c r="AI80" s="46">
        <v>-1178</v>
      </c>
      <c r="AJ80" s="46">
        <v>0</v>
      </c>
      <c r="AK80" s="46">
        <v>0</v>
      </c>
      <c r="AL80" s="46">
        <v>0</v>
      </c>
      <c r="AM80" s="46">
        <f t="shared" si="146"/>
        <v>0</v>
      </c>
      <c r="AN80" s="46">
        <f t="shared" si="146"/>
        <v>0</v>
      </c>
      <c r="AO80" s="46">
        <f t="shared" si="146"/>
        <v>0</v>
      </c>
      <c r="AP80" s="46">
        <f t="shared" si="146"/>
        <v>0</v>
      </c>
      <c r="AQ80" s="46">
        <f t="shared" si="146"/>
        <v>0</v>
      </c>
      <c r="AR80" s="46">
        <f t="shared" si="146"/>
        <v>0</v>
      </c>
      <c r="AS80" s="46">
        <f t="shared" si="146"/>
        <v>0</v>
      </c>
      <c r="AT80" s="46">
        <f t="shared" si="146"/>
        <v>0</v>
      </c>
      <c r="AU80" s="47">
        <f>+$AT$80</f>
        <v>0</v>
      </c>
      <c r="AV80" s="46" t="e">
        <f>ROUND((+#REF!-AV48+AV64),0)</f>
        <v>#REF!</v>
      </c>
      <c r="AW80" s="46" t="e">
        <f t="shared" ref="AW80:BQ80" si="169">ROUND((+AV80-AW48+AW64),0)</f>
        <v>#REF!</v>
      </c>
      <c r="AX80" s="46" t="e">
        <f t="shared" si="169"/>
        <v>#REF!</v>
      </c>
      <c r="AY80" s="46" t="e">
        <f t="shared" si="169"/>
        <v>#REF!</v>
      </c>
      <c r="AZ80" s="46" t="e">
        <f t="shared" si="169"/>
        <v>#REF!</v>
      </c>
      <c r="BA80" s="46" t="e">
        <f t="shared" si="169"/>
        <v>#REF!</v>
      </c>
      <c r="BB80" s="46" t="e">
        <f t="shared" si="169"/>
        <v>#REF!</v>
      </c>
      <c r="BC80" s="46" t="e">
        <f t="shared" si="169"/>
        <v>#REF!</v>
      </c>
      <c r="BD80" s="46" t="e">
        <f t="shared" si="169"/>
        <v>#REF!</v>
      </c>
      <c r="BE80" s="46" t="e">
        <f t="shared" si="169"/>
        <v>#REF!</v>
      </c>
      <c r="BF80" s="46" t="e">
        <f t="shared" si="169"/>
        <v>#REF!</v>
      </c>
      <c r="BG80" s="46" t="e">
        <f t="shared" si="169"/>
        <v>#REF!</v>
      </c>
      <c r="BH80" s="46" t="e">
        <f t="shared" si="169"/>
        <v>#REF!</v>
      </c>
      <c r="BI80" s="46" t="e">
        <f t="shared" si="169"/>
        <v>#REF!</v>
      </c>
      <c r="BJ80" s="46" t="e">
        <f t="shared" si="169"/>
        <v>#REF!</v>
      </c>
      <c r="BK80" s="46" t="e">
        <f t="shared" si="169"/>
        <v>#REF!</v>
      </c>
      <c r="BL80" s="46" t="e">
        <f t="shared" si="169"/>
        <v>#REF!</v>
      </c>
      <c r="BM80" s="46" t="e">
        <f t="shared" si="169"/>
        <v>#REF!</v>
      </c>
      <c r="BN80" s="46" t="e">
        <f t="shared" si="169"/>
        <v>#REF!</v>
      </c>
      <c r="BO80" s="46" t="e">
        <f t="shared" si="169"/>
        <v>#REF!</v>
      </c>
      <c r="BP80" s="46" t="e">
        <f t="shared" si="169"/>
        <v>#REF!</v>
      </c>
      <c r="BQ80" s="45" t="e">
        <f t="shared" si="169"/>
        <v>#REF!</v>
      </c>
      <c r="BR80" s="44" t="e">
        <f t="shared" si="148"/>
        <v>#REF!</v>
      </c>
      <c r="BS80" s="43"/>
      <c r="BT80" s="46" t="e">
        <f t="shared" si="149"/>
        <v>#REF!</v>
      </c>
      <c r="BU80" s="46" t="e">
        <f t="shared" ref="BU80:CO80" si="170">ROUND((+BT80-BU48+BU64),0)</f>
        <v>#REF!</v>
      </c>
      <c r="BV80" s="46" t="e">
        <f t="shared" si="170"/>
        <v>#REF!</v>
      </c>
      <c r="BW80" s="46" t="e">
        <f t="shared" si="170"/>
        <v>#REF!</v>
      </c>
      <c r="BX80" s="46" t="e">
        <f t="shared" si="170"/>
        <v>#REF!</v>
      </c>
      <c r="BY80" s="46" t="e">
        <f t="shared" si="170"/>
        <v>#REF!</v>
      </c>
      <c r="BZ80" s="46" t="e">
        <f t="shared" si="170"/>
        <v>#REF!</v>
      </c>
      <c r="CA80" s="46" t="e">
        <f t="shared" si="170"/>
        <v>#REF!</v>
      </c>
      <c r="CB80" s="46" t="e">
        <f t="shared" si="170"/>
        <v>#REF!</v>
      </c>
      <c r="CC80" s="46" t="e">
        <f t="shared" si="170"/>
        <v>#REF!</v>
      </c>
      <c r="CD80" s="46" t="e">
        <f t="shared" si="170"/>
        <v>#REF!</v>
      </c>
      <c r="CE80" s="46" t="e">
        <f t="shared" si="170"/>
        <v>#REF!</v>
      </c>
      <c r="CF80" s="46" t="e">
        <f t="shared" si="170"/>
        <v>#REF!</v>
      </c>
      <c r="CG80" s="46" t="e">
        <f t="shared" si="170"/>
        <v>#REF!</v>
      </c>
      <c r="CH80" s="46" t="e">
        <f t="shared" si="170"/>
        <v>#REF!</v>
      </c>
      <c r="CI80" s="46" t="e">
        <f t="shared" si="170"/>
        <v>#REF!</v>
      </c>
      <c r="CJ80" s="46" t="e">
        <f t="shared" si="170"/>
        <v>#REF!</v>
      </c>
      <c r="CK80" s="46" t="e">
        <f t="shared" si="170"/>
        <v>#REF!</v>
      </c>
      <c r="CL80" s="46" t="e">
        <f t="shared" si="170"/>
        <v>#REF!</v>
      </c>
      <c r="CM80" s="46" t="e">
        <f t="shared" si="170"/>
        <v>#REF!</v>
      </c>
      <c r="CN80" s="46" t="e">
        <f t="shared" si="170"/>
        <v>#REF!</v>
      </c>
      <c r="CO80" s="45" t="e">
        <f t="shared" si="170"/>
        <v>#REF!</v>
      </c>
      <c r="CP80" s="44" t="e">
        <f t="shared" si="151"/>
        <v>#REF!</v>
      </c>
      <c r="CQ80" s="43"/>
      <c r="CR80" s="46" t="e">
        <f t="shared" si="152"/>
        <v>#REF!</v>
      </c>
      <c r="CS80" s="46" t="e">
        <f t="shared" ref="CS80:DL80" si="171">ROUND((+CR80-CS48+CS64),0)</f>
        <v>#REF!</v>
      </c>
      <c r="CT80" s="46" t="e">
        <f t="shared" si="171"/>
        <v>#REF!</v>
      </c>
      <c r="CU80" s="46" t="e">
        <f t="shared" si="171"/>
        <v>#REF!</v>
      </c>
      <c r="CV80" s="46" t="e">
        <f t="shared" si="171"/>
        <v>#REF!</v>
      </c>
      <c r="CW80" s="46" t="e">
        <f t="shared" si="171"/>
        <v>#REF!</v>
      </c>
      <c r="CX80" s="46" t="e">
        <f t="shared" si="171"/>
        <v>#REF!</v>
      </c>
      <c r="CY80" s="46" t="e">
        <f t="shared" si="171"/>
        <v>#REF!</v>
      </c>
      <c r="CZ80" s="46" t="e">
        <f t="shared" si="171"/>
        <v>#REF!</v>
      </c>
      <c r="DA80" s="46" t="e">
        <f t="shared" si="171"/>
        <v>#REF!</v>
      </c>
      <c r="DB80" s="46" t="e">
        <f t="shared" si="171"/>
        <v>#REF!</v>
      </c>
      <c r="DC80" s="46" t="e">
        <f t="shared" si="171"/>
        <v>#REF!</v>
      </c>
      <c r="DD80" s="46" t="e">
        <f t="shared" si="171"/>
        <v>#REF!</v>
      </c>
      <c r="DE80" s="46" t="e">
        <f t="shared" si="171"/>
        <v>#REF!</v>
      </c>
      <c r="DF80" s="46" t="e">
        <f t="shared" si="171"/>
        <v>#REF!</v>
      </c>
      <c r="DG80" s="46" t="e">
        <f t="shared" si="171"/>
        <v>#REF!</v>
      </c>
      <c r="DH80" s="46" t="e">
        <f t="shared" si="171"/>
        <v>#REF!</v>
      </c>
      <c r="DI80" s="46" t="e">
        <f t="shared" si="171"/>
        <v>#REF!</v>
      </c>
      <c r="DJ80" s="46" t="e">
        <f t="shared" si="171"/>
        <v>#REF!</v>
      </c>
      <c r="DK80" s="46" t="e">
        <f t="shared" si="171"/>
        <v>#REF!</v>
      </c>
      <c r="DL80" s="45" t="e">
        <f t="shared" si="171"/>
        <v>#REF!</v>
      </c>
      <c r="DM80" s="44" t="e">
        <f t="shared" si="154"/>
        <v>#REF!</v>
      </c>
      <c r="DN80" s="43"/>
      <c r="DO80" s="46" t="e">
        <f t="shared" si="155"/>
        <v>#REF!</v>
      </c>
      <c r="DP80" s="46" t="e">
        <f t="shared" ref="DP80:EJ80" si="172">ROUND((+DO80-DP48+DP64),0)</f>
        <v>#REF!</v>
      </c>
      <c r="DQ80" s="46" t="e">
        <f t="shared" si="172"/>
        <v>#REF!</v>
      </c>
      <c r="DR80" s="46" t="e">
        <f t="shared" si="172"/>
        <v>#REF!</v>
      </c>
      <c r="DS80" s="46" t="e">
        <f t="shared" si="172"/>
        <v>#REF!</v>
      </c>
      <c r="DT80" s="46" t="e">
        <f t="shared" si="172"/>
        <v>#REF!</v>
      </c>
      <c r="DU80" s="46" t="e">
        <f t="shared" si="172"/>
        <v>#REF!</v>
      </c>
      <c r="DV80" s="46" t="e">
        <f t="shared" si="172"/>
        <v>#REF!</v>
      </c>
      <c r="DW80" s="46" t="e">
        <f t="shared" si="172"/>
        <v>#REF!</v>
      </c>
      <c r="DX80" s="46" t="e">
        <f t="shared" si="172"/>
        <v>#REF!</v>
      </c>
      <c r="DY80" s="46" t="e">
        <f t="shared" si="172"/>
        <v>#REF!</v>
      </c>
      <c r="DZ80" s="46" t="e">
        <f t="shared" si="172"/>
        <v>#REF!</v>
      </c>
      <c r="EA80" s="46" t="e">
        <f t="shared" si="172"/>
        <v>#REF!</v>
      </c>
      <c r="EB80" s="46" t="e">
        <f t="shared" si="172"/>
        <v>#REF!</v>
      </c>
      <c r="EC80" s="46" t="e">
        <f t="shared" si="172"/>
        <v>#REF!</v>
      </c>
      <c r="ED80" s="46" t="e">
        <f t="shared" si="172"/>
        <v>#REF!</v>
      </c>
      <c r="EE80" s="46" t="e">
        <f t="shared" si="172"/>
        <v>#REF!</v>
      </c>
      <c r="EF80" s="46" t="e">
        <f t="shared" si="172"/>
        <v>#REF!</v>
      </c>
      <c r="EG80" s="46" t="e">
        <f t="shared" si="172"/>
        <v>#REF!</v>
      </c>
      <c r="EH80" s="46" t="e">
        <f t="shared" si="172"/>
        <v>#REF!</v>
      </c>
      <c r="EI80" s="46" t="e">
        <f t="shared" si="172"/>
        <v>#REF!</v>
      </c>
      <c r="EJ80" s="45" t="e">
        <f t="shared" si="172"/>
        <v>#REF!</v>
      </c>
      <c r="EK80" s="44" t="e">
        <f t="shared" si="157"/>
        <v>#REF!</v>
      </c>
      <c r="EL80" s="43"/>
      <c r="EN80" s="21"/>
    </row>
    <row r="81" spans="1:144" s="13" customFormat="1" ht="25" customHeight="1">
      <c r="A81" s="24"/>
      <c r="B81" s="11"/>
      <c r="C81" s="55" t="s">
        <v>3</v>
      </c>
      <c r="D81" s="54">
        <v>-26669</v>
      </c>
      <c r="E81" s="53">
        <f t="shared" ref="E81:X81" si="173">ROUND((+D81-E49+E65),0)</f>
        <v>-13164</v>
      </c>
      <c r="F81" s="53">
        <f t="shared" si="173"/>
        <v>-12435</v>
      </c>
      <c r="G81" s="53">
        <f t="shared" si="173"/>
        <v>-32367</v>
      </c>
      <c r="H81" s="53">
        <f t="shared" si="173"/>
        <v>-8782</v>
      </c>
      <c r="I81" s="53">
        <f t="shared" si="173"/>
        <v>0</v>
      </c>
      <c r="J81" s="53">
        <f t="shared" si="173"/>
        <v>0</v>
      </c>
      <c r="K81" s="53">
        <f t="shared" si="173"/>
        <v>0</v>
      </c>
      <c r="L81" s="53">
        <f t="shared" si="173"/>
        <v>0</v>
      </c>
      <c r="M81" s="53">
        <f t="shared" si="173"/>
        <v>0</v>
      </c>
      <c r="N81" s="53">
        <f t="shared" si="173"/>
        <v>0</v>
      </c>
      <c r="O81" s="53">
        <f t="shared" si="173"/>
        <v>0</v>
      </c>
      <c r="P81" s="53">
        <f t="shared" si="173"/>
        <v>-19063</v>
      </c>
      <c r="Q81" s="53">
        <f t="shared" si="173"/>
        <v>-41826</v>
      </c>
      <c r="R81" s="53">
        <f t="shared" si="173"/>
        <v>-48464</v>
      </c>
      <c r="S81" s="53">
        <f t="shared" si="173"/>
        <v>-59031</v>
      </c>
      <c r="T81" s="53">
        <f t="shared" si="173"/>
        <v>-648804</v>
      </c>
      <c r="U81" s="53">
        <f t="shared" si="173"/>
        <v>0</v>
      </c>
      <c r="V81" s="53">
        <f t="shared" si="173"/>
        <v>0</v>
      </c>
      <c r="W81" s="53">
        <f t="shared" si="173"/>
        <v>0</v>
      </c>
      <c r="X81" s="53">
        <f t="shared" si="173"/>
        <v>0</v>
      </c>
      <c r="Z81" s="52">
        <f t="shared" si="144"/>
        <v>0</v>
      </c>
      <c r="AA81" s="54">
        <f t="shared" si="145"/>
        <v>0</v>
      </c>
      <c r="AB81" s="50"/>
      <c r="AC81" s="5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-7283</v>
      </c>
      <c r="AI81" s="53">
        <v>-10251</v>
      </c>
      <c r="AJ81" s="53">
        <v>0</v>
      </c>
      <c r="AK81" s="53">
        <v>0</v>
      </c>
      <c r="AL81" s="53">
        <v>0</v>
      </c>
      <c r="AM81" s="53">
        <f t="shared" si="146"/>
        <v>0</v>
      </c>
      <c r="AN81" s="53">
        <f t="shared" si="146"/>
        <v>0</v>
      </c>
      <c r="AO81" s="53">
        <f t="shared" si="146"/>
        <v>0</v>
      </c>
      <c r="AP81" s="53">
        <f t="shared" si="146"/>
        <v>0</v>
      </c>
      <c r="AQ81" s="53">
        <f t="shared" si="146"/>
        <v>0</v>
      </c>
      <c r="AR81" s="53">
        <f t="shared" si="146"/>
        <v>0</v>
      </c>
      <c r="AS81" s="53">
        <f t="shared" si="146"/>
        <v>0</v>
      </c>
      <c r="AT81" s="53">
        <f t="shared" si="146"/>
        <v>0</v>
      </c>
      <c r="AU81" s="54">
        <f>+$AT$81</f>
        <v>0</v>
      </c>
      <c r="AV81" s="53" t="e">
        <f>ROUND((+#REF!-AV49+AV65),0)</f>
        <v>#REF!</v>
      </c>
      <c r="AW81" s="53" t="e">
        <f t="shared" ref="AW81:BQ81" si="174">ROUND((+AV81-AW49+AW65),0)</f>
        <v>#REF!</v>
      </c>
      <c r="AX81" s="53" t="e">
        <f t="shared" si="174"/>
        <v>#REF!</v>
      </c>
      <c r="AY81" s="53" t="e">
        <f t="shared" si="174"/>
        <v>#REF!</v>
      </c>
      <c r="AZ81" s="53" t="e">
        <f t="shared" si="174"/>
        <v>#REF!</v>
      </c>
      <c r="BA81" s="53" t="e">
        <f t="shared" si="174"/>
        <v>#REF!</v>
      </c>
      <c r="BB81" s="53" t="e">
        <f t="shared" si="174"/>
        <v>#REF!</v>
      </c>
      <c r="BC81" s="53" t="e">
        <f t="shared" si="174"/>
        <v>#REF!</v>
      </c>
      <c r="BD81" s="53" t="e">
        <f t="shared" si="174"/>
        <v>#REF!</v>
      </c>
      <c r="BE81" s="53" t="e">
        <f t="shared" si="174"/>
        <v>#REF!</v>
      </c>
      <c r="BF81" s="53" t="e">
        <f t="shared" si="174"/>
        <v>#REF!</v>
      </c>
      <c r="BG81" s="53" t="e">
        <f t="shared" si="174"/>
        <v>#REF!</v>
      </c>
      <c r="BH81" s="53" t="e">
        <f t="shared" si="174"/>
        <v>#REF!</v>
      </c>
      <c r="BI81" s="53" t="e">
        <f t="shared" si="174"/>
        <v>#REF!</v>
      </c>
      <c r="BJ81" s="53" t="e">
        <f t="shared" si="174"/>
        <v>#REF!</v>
      </c>
      <c r="BK81" s="53" t="e">
        <f t="shared" si="174"/>
        <v>#REF!</v>
      </c>
      <c r="BL81" s="53" t="e">
        <f t="shared" si="174"/>
        <v>#REF!</v>
      </c>
      <c r="BM81" s="53" t="e">
        <f t="shared" si="174"/>
        <v>#REF!</v>
      </c>
      <c r="BN81" s="53" t="e">
        <f t="shared" si="174"/>
        <v>#REF!</v>
      </c>
      <c r="BO81" s="53" t="e">
        <f t="shared" si="174"/>
        <v>#REF!</v>
      </c>
      <c r="BP81" s="53" t="e">
        <f t="shared" si="174"/>
        <v>#REF!</v>
      </c>
      <c r="BQ81" s="52" t="e">
        <f t="shared" si="174"/>
        <v>#REF!</v>
      </c>
      <c r="BR81" s="51" t="e">
        <f t="shared" si="148"/>
        <v>#REF!</v>
      </c>
      <c r="BS81" s="50"/>
      <c r="BT81" s="53" t="e">
        <f t="shared" si="149"/>
        <v>#REF!</v>
      </c>
      <c r="BU81" s="53" t="e">
        <f t="shared" ref="BU81:CO81" si="175">ROUND((+BT81-BU49+BU65),0)</f>
        <v>#REF!</v>
      </c>
      <c r="BV81" s="53" t="e">
        <f t="shared" si="175"/>
        <v>#REF!</v>
      </c>
      <c r="BW81" s="53" t="e">
        <f t="shared" si="175"/>
        <v>#REF!</v>
      </c>
      <c r="BX81" s="53" t="e">
        <f t="shared" si="175"/>
        <v>#REF!</v>
      </c>
      <c r="BY81" s="53" t="e">
        <f t="shared" si="175"/>
        <v>#REF!</v>
      </c>
      <c r="BZ81" s="53" t="e">
        <f t="shared" si="175"/>
        <v>#REF!</v>
      </c>
      <c r="CA81" s="53" t="e">
        <f t="shared" si="175"/>
        <v>#REF!</v>
      </c>
      <c r="CB81" s="53" t="e">
        <f t="shared" si="175"/>
        <v>#REF!</v>
      </c>
      <c r="CC81" s="53" t="e">
        <f t="shared" si="175"/>
        <v>#REF!</v>
      </c>
      <c r="CD81" s="53" t="e">
        <f t="shared" si="175"/>
        <v>#REF!</v>
      </c>
      <c r="CE81" s="53" t="e">
        <f t="shared" si="175"/>
        <v>#REF!</v>
      </c>
      <c r="CF81" s="53" t="e">
        <f t="shared" si="175"/>
        <v>#REF!</v>
      </c>
      <c r="CG81" s="53" t="e">
        <f t="shared" si="175"/>
        <v>#REF!</v>
      </c>
      <c r="CH81" s="53" t="e">
        <f t="shared" si="175"/>
        <v>#REF!</v>
      </c>
      <c r="CI81" s="53" t="e">
        <f t="shared" si="175"/>
        <v>#REF!</v>
      </c>
      <c r="CJ81" s="53" t="e">
        <f t="shared" si="175"/>
        <v>#REF!</v>
      </c>
      <c r="CK81" s="53" t="e">
        <f t="shared" si="175"/>
        <v>#REF!</v>
      </c>
      <c r="CL81" s="53" t="e">
        <f t="shared" si="175"/>
        <v>#REF!</v>
      </c>
      <c r="CM81" s="53" t="e">
        <f t="shared" si="175"/>
        <v>#REF!</v>
      </c>
      <c r="CN81" s="53" t="e">
        <f t="shared" si="175"/>
        <v>#REF!</v>
      </c>
      <c r="CO81" s="52" t="e">
        <f t="shared" si="175"/>
        <v>#REF!</v>
      </c>
      <c r="CP81" s="51" t="e">
        <f t="shared" si="151"/>
        <v>#REF!</v>
      </c>
      <c r="CQ81" s="50"/>
      <c r="CR81" s="53" t="e">
        <f t="shared" si="152"/>
        <v>#REF!</v>
      </c>
      <c r="CS81" s="53" t="e">
        <f t="shared" ref="CS81:DL81" si="176">ROUND((+CR81-CS49+CS65),0)</f>
        <v>#REF!</v>
      </c>
      <c r="CT81" s="53" t="e">
        <f t="shared" si="176"/>
        <v>#REF!</v>
      </c>
      <c r="CU81" s="53" t="e">
        <f t="shared" si="176"/>
        <v>#REF!</v>
      </c>
      <c r="CV81" s="53" t="e">
        <f t="shared" si="176"/>
        <v>#REF!</v>
      </c>
      <c r="CW81" s="53" t="e">
        <f t="shared" si="176"/>
        <v>#REF!</v>
      </c>
      <c r="CX81" s="53" t="e">
        <f t="shared" si="176"/>
        <v>#REF!</v>
      </c>
      <c r="CY81" s="53" t="e">
        <f t="shared" si="176"/>
        <v>#REF!</v>
      </c>
      <c r="CZ81" s="53" t="e">
        <f t="shared" si="176"/>
        <v>#REF!</v>
      </c>
      <c r="DA81" s="53" t="e">
        <f t="shared" si="176"/>
        <v>#REF!</v>
      </c>
      <c r="DB81" s="53" t="e">
        <f t="shared" si="176"/>
        <v>#REF!</v>
      </c>
      <c r="DC81" s="53" t="e">
        <f t="shared" si="176"/>
        <v>#REF!</v>
      </c>
      <c r="DD81" s="53" t="e">
        <f t="shared" si="176"/>
        <v>#REF!</v>
      </c>
      <c r="DE81" s="53" t="e">
        <f t="shared" si="176"/>
        <v>#REF!</v>
      </c>
      <c r="DF81" s="53" t="e">
        <f t="shared" si="176"/>
        <v>#REF!</v>
      </c>
      <c r="DG81" s="53" t="e">
        <f t="shared" si="176"/>
        <v>#REF!</v>
      </c>
      <c r="DH81" s="53" t="e">
        <f t="shared" si="176"/>
        <v>#REF!</v>
      </c>
      <c r="DI81" s="53" t="e">
        <f t="shared" si="176"/>
        <v>#REF!</v>
      </c>
      <c r="DJ81" s="53" t="e">
        <f t="shared" si="176"/>
        <v>#REF!</v>
      </c>
      <c r="DK81" s="53" t="e">
        <f t="shared" si="176"/>
        <v>#REF!</v>
      </c>
      <c r="DL81" s="52" t="e">
        <f t="shared" si="176"/>
        <v>#REF!</v>
      </c>
      <c r="DM81" s="51" t="e">
        <f t="shared" si="154"/>
        <v>#REF!</v>
      </c>
      <c r="DN81" s="50"/>
      <c r="DO81" s="53" t="e">
        <f t="shared" si="155"/>
        <v>#REF!</v>
      </c>
      <c r="DP81" s="53" t="e">
        <f t="shared" ref="DP81:EJ81" si="177">ROUND((+DO81-DP49+DP65),0)</f>
        <v>#REF!</v>
      </c>
      <c r="DQ81" s="53" t="e">
        <f t="shared" si="177"/>
        <v>#REF!</v>
      </c>
      <c r="DR81" s="53" t="e">
        <f t="shared" si="177"/>
        <v>#REF!</v>
      </c>
      <c r="DS81" s="53" t="e">
        <f t="shared" si="177"/>
        <v>#REF!</v>
      </c>
      <c r="DT81" s="53" t="e">
        <f t="shared" si="177"/>
        <v>#REF!</v>
      </c>
      <c r="DU81" s="53" t="e">
        <f t="shared" si="177"/>
        <v>#REF!</v>
      </c>
      <c r="DV81" s="53" t="e">
        <f t="shared" si="177"/>
        <v>#REF!</v>
      </c>
      <c r="DW81" s="53" t="e">
        <f t="shared" si="177"/>
        <v>#REF!</v>
      </c>
      <c r="DX81" s="53" t="e">
        <f t="shared" si="177"/>
        <v>#REF!</v>
      </c>
      <c r="DY81" s="53" t="e">
        <f t="shared" si="177"/>
        <v>#REF!</v>
      </c>
      <c r="DZ81" s="53" t="e">
        <f t="shared" si="177"/>
        <v>#REF!</v>
      </c>
      <c r="EA81" s="53" t="e">
        <f t="shared" si="177"/>
        <v>#REF!</v>
      </c>
      <c r="EB81" s="53" t="e">
        <f t="shared" si="177"/>
        <v>#REF!</v>
      </c>
      <c r="EC81" s="53" t="e">
        <f t="shared" si="177"/>
        <v>#REF!</v>
      </c>
      <c r="ED81" s="53" t="e">
        <f t="shared" si="177"/>
        <v>#REF!</v>
      </c>
      <c r="EE81" s="53" t="e">
        <f t="shared" si="177"/>
        <v>#REF!</v>
      </c>
      <c r="EF81" s="53" t="e">
        <f t="shared" si="177"/>
        <v>#REF!</v>
      </c>
      <c r="EG81" s="53" t="e">
        <f t="shared" si="177"/>
        <v>#REF!</v>
      </c>
      <c r="EH81" s="53" t="e">
        <f t="shared" si="177"/>
        <v>#REF!</v>
      </c>
      <c r="EI81" s="53" t="e">
        <f t="shared" si="177"/>
        <v>#REF!</v>
      </c>
      <c r="EJ81" s="52" t="e">
        <f t="shared" si="177"/>
        <v>#REF!</v>
      </c>
      <c r="EK81" s="51" t="e">
        <f t="shared" si="157"/>
        <v>#REF!</v>
      </c>
      <c r="EL81" s="50"/>
      <c r="EN81" s="21"/>
    </row>
    <row r="82" spans="1:144" s="13" customFormat="1" ht="25" customHeight="1">
      <c r="A82" s="24"/>
      <c r="B82" s="11"/>
      <c r="C82" s="49" t="s">
        <v>2</v>
      </c>
      <c r="D82" s="47">
        <v>0</v>
      </c>
      <c r="E82" s="46">
        <f t="shared" ref="E82:X82" si="178">ROUND((+D82-E50+E66),0)</f>
        <v>0</v>
      </c>
      <c r="F82" s="46">
        <f t="shared" si="178"/>
        <v>0</v>
      </c>
      <c r="G82" s="46">
        <f t="shared" si="178"/>
        <v>0</v>
      </c>
      <c r="H82" s="46">
        <f t="shared" si="178"/>
        <v>0</v>
      </c>
      <c r="I82" s="46">
        <f t="shared" si="178"/>
        <v>0</v>
      </c>
      <c r="J82" s="46">
        <f t="shared" si="178"/>
        <v>0</v>
      </c>
      <c r="K82" s="46">
        <f t="shared" si="178"/>
        <v>0</v>
      </c>
      <c r="L82" s="46">
        <f t="shared" si="178"/>
        <v>0</v>
      </c>
      <c r="M82" s="46">
        <f t="shared" si="178"/>
        <v>0</v>
      </c>
      <c r="N82" s="46">
        <f t="shared" si="178"/>
        <v>0</v>
      </c>
      <c r="O82" s="46">
        <f t="shared" si="178"/>
        <v>0</v>
      </c>
      <c r="P82" s="46">
        <f t="shared" si="178"/>
        <v>0</v>
      </c>
      <c r="Q82" s="46">
        <f t="shared" si="178"/>
        <v>0</v>
      </c>
      <c r="R82" s="46">
        <f t="shared" si="178"/>
        <v>0</v>
      </c>
      <c r="S82" s="46">
        <f t="shared" si="178"/>
        <v>0</v>
      </c>
      <c r="T82" s="46">
        <f t="shared" si="178"/>
        <v>0</v>
      </c>
      <c r="U82" s="46">
        <f t="shared" si="178"/>
        <v>0</v>
      </c>
      <c r="V82" s="46">
        <f t="shared" si="178"/>
        <v>0</v>
      </c>
      <c r="W82" s="46">
        <f t="shared" si="178"/>
        <v>0</v>
      </c>
      <c r="X82" s="46">
        <f t="shared" si="178"/>
        <v>0</v>
      </c>
      <c r="Z82" s="45">
        <f t="shared" si="144"/>
        <v>0</v>
      </c>
      <c r="AA82" s="47">
        <f t="shared" si="145"/>
        <v>0</v>
      </c>
      <c r="AB82" s="43"/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f t="shared" si="146"/>
        <v>0</v>
      </c>
      <c r="AN82" s="46">
        <f t="shared" si="146"/>
        <v>0</v>
      </c>
      <c r="AO82" s="46">
        <f t="shared" si="146"/>
        <v>0</v>
      </c>
      <c r="AP82" s="46">
        <f t="shared" si="146"/>
        <v>0</v>
      </c>
      <c r="AQ82" s="46">
        <f t="shared" si="146"/>
        <v>0</v>
      </c>
      <c r="AR82" s="46">
        <f t="shared" si="146"/>
        <v>0</v>
      </c>
      <c r="AS82" s="46">
        <f t="shared" si="146"/>
        <v>0</v>
      </c>
      <c r="AT82" s="46">
        <f t="shared" si="146"/>
        <v>0</v>
      </c>
      <c r="AU82" s="47">
        <f>+$AT$82</f>
        <v>0</v>
      </c>
      <c r="AV82" s="46" t="e">
        <f>ROUND((+#REF!-AV50+AV66),0)</f>
        <v>#REF!</v>
      </c>
      <c r="AW82" s="46" t="e">
        <f t="shared" ref="AW82:BQ82" si="179">ROUND((+AV82-AW50+AW66),0)</f>
        <v>#REF!</v>
      </c>
      <c r="AX82" s="46" t="e">
        <f t="shared" si="179"/>
        <v>#REF!</v>
      </c>
      <c r="AY82" s="46" t="e">
        <f t="shared" si="179"/>
        <v>#REF!</v>
      </c>
      <c r="AZ82" s="46" t="e">
        <f t="shared" si="179"/>
        <v>#REF!</v>
      </c>
      <c r="BA82" s="46" t="e">
        <f t="shared" si="179"/>
        <v>#REF!</v>
      </c>
      <c r="BB82" s="46" t="e">
        <f t="shared" si="179"/>
        <v>#REF!</v>
      </c>
      <c r="BC82" s="46" t="e">
        <f t="shared" si="179"/>
        <v>#REF!</v>
      </c>
      <c r="BD82" s="46" t="e">
        <f t="shared" si="179"/>
        <v>#REF!</v>
      </c>
      <c r="BE82" s="46" t="e">
        <f t="shared" si="179"/>
        <v>#REF!</v>
      </c>
      <c r="BF82" s="46" t="e">
        <f t="shared" si="179"/>
        <v>#REF!</v>
      </c>
      <c r="BG82" s="46" t="e">
        <f t="shared" si="179"/>
        <v>#REF!</v>
      </c>
      <c r="BH82" s="46" t="e">
        <f t="shared" si="179"/>
        <v>#REF!</v>
      </c>
      <c r="BI82" s="46" t="e">
        <f t="shared" si="179"/>
        <v>#REF!</v>
      </c>
      <c r="BJ82" s="46" t="e">
        <f t="shared" si="179"/>
        <v>#REF!</v>
      </c>
      <c r="BK82" s="46" t="e">
        <f t="shared" si="179"/>
        <v>#REF!</v>
      </c>
      <c r="BL82" s="46" t="e">
        <f t="shared" si="179"/>
        <v>#REF!</v>
      </c>
      <c r="BM82" s="46" t="e">
        <f t="shared" si="179"/>
        <v>#REF!</v>
      </c>
      <c r="BN82" s="46" t="e">
        <f t="shared" si="179"/>
        <v>#REF!</v>
      </c>
      <c r="BO82" s="46" t="e">
        <f t="shared" si="179"/>
        <v>#REF!</v>
      </c>
      <c r="BP82" s="46" t="e">
        <f t="shared" si="179"/>
        <v>#REF!</v>
      </c>
      <c r="BQ82" s="45" t="e">
        <f t="shared" si="179"/>
        <v>#REF!</v>
      </c>
      <c r="BR82" s="44" t="e">
        <f t="shared" si="148"/>
        <v>#REF!</v>
      </c>
      <c r="BS82" s="43"/>
      <c r="BT82" s="46" t="e">
        <f t="shared" si="149"/>
        <v>#REF!</v>
      </c>
      <c r="BU82" s="46" t="e">
        <f t="shared" ref="BU82:CO82" si="180">ROUND((+BT82-BU50+BU66),0)</f>
        <v>#REF!</v>
      </c>
      <c r="BV82" s="46" t="e">
        <f t="shared" si="180"/>
        <v>#REF!</v>
      </c>
      <c r="BW82" s="46" t="e">
        <f t="shared" si="180"/>
        <v>#REF!</v>
      </c>
      <c r="BX82" s="46" t="e">
        <f t="shared" si="180"/>
        <v>#REF!</v>
      </c>
      <c r="BY82" s="46" t="e">
        <f t="shared" si="180"/>
        <v>#REF!</v>
      </c>
      <c r="BZ82" s="46" t="e">
        <f t="shared" si="180"/>
        <v>#REF!</v>
      </c>
      <c r="CA82" s="46" t="e">
        <f t="shared" si="180"/>
        <v>#REF!</v>
      </c>
      <c r="CB82" s="46" t="e">
        <f t="shared" si="180"/>
        <v>#REF!</v>
      </c>
      <c r="CC82" s="46" t="e">
        <f t="shared" si="180"/>
        <v>#REF!</v>
      </c>
      <c r="CD82" s="46" t="e">
        <f t="shared" si="180"/>
        <v>#REF!</v>
      </c>
      <c r="CE82" s="46" t="e">
        <f t="shared" si="180"/>
        <v>#REF!</v>
      </c>
      <c r="CF82" s="46" t="e">
        <f t="shared" si="180"/>
        <v>#REF!</v>
      </c>
      <c r="CG82" s="46" t="e">
        <f t="shared" si="180"/>
        <v>#REF!</v>
      </c>
      <c r="CH82" s="46" t="e">
        <f t="shared" si="180"/>
        <v>#REF!</v>
      </c>
      <c r="CI82" s="46" t="e">
        <f t="shared" si="180"/>
        <v>#REF!</v>
      </c>
      <c r="CJ82" s="46" t="e">
        <f t="shared" si="180"/>
        <v>#REF!</v>
      </c>
      <c r="CK82" s="46" t="e">
        <f t="shared" si="180"/>
        <v>#REF!</v>
      </c>
      <c r="CL82" s="46" t="e">
        <f t="shared" si="180"/>
        <v>#REF!</v>
      </c>
      <c r="CM82" s="46" t="e">
        <f t="shared" si="180"/>
        <v>#REF!</v>
      </c>
      <c r="CN82" s="46" t="e">
        <f t="shared" si="180"/>
        <v>#REF!</v>
      </c>
      <c r="CO82" s="45" t="e">
        <f t="shared" si="180"/>
        <v>#REF!</v>
      </c>
      <c r="CP82" s="44" t="e">
        <f t="shared" si="151"/>
        <v>#REF!</v>
      </c>
      <c r="CQ82" s="43"/>
      <c r="CR82" s="46" t="e">
        <f t="shared" si="152"/>
        <v>#REF!</v>
      </c>
      <c r="CS82" s="46" t="e">
        <f t="shared" ref="CS82:DL82" si="181">ROUND((+CR82-CS50+CS66),0)</f>
        <v>#REF!</v>
      </c>
      <c r="CT82" s="46" t="e">
        <f t="shared" si="181"/>
        <v>#REF!</v>
      </c>
      <c r="CU82" s="46" t="e">
        <f t="shared" si="181"/>
        <v>#REF!</v>
      </c>
      <c r="CV82" s="46" t="e">
        <f t="shared" si="181"/>
        <v>#REF!</v>
      </c>
      <c r="CW82" s="46" t="e">
        <f t="shared" si="181"/>
        <v>#REF!</v>
      </c>
      <c r="CX82" s="46" t="e">
        <f t="shared" si="181"/>
        <v>#REF!</v>
      </c>
      <c r="CY82" s="46" t="e">
        <f t="shared" si="181"/>
        <v>#REF!</v>
      </c>
      <c r="CZ82" s="46" t="e">
        <f t="shared" si="181"/>
        <v>#REF!</v>
      </c>
      <c r="DA82" s="46" t="e">
        <f t="shared" si="181"/>
        <v>#REF!</v>
      </c>
      <c r="DB82" s="46" t="e">
        <f t="shared" si="181"/>
        <v>#REF!</v>
      </c>
      <c r="DC82" s="46" t="e">
        <f t="shared" si="181"/>
        <v>#REF!</v>
      </c>
      <c r="DD82" s="46" t="e">
        <f t="shared" si="181"/>
        <v>#REF!</v>
      </c>
      <c r="DE82" s="46" t="e">
        <f t="shared" si="181"/>
        <v>#REF!</v>
      </c>
      <c r="DF82" s="46" t="e">
        <f t="shared" si="181"/>
        <v>#REF!</v>
      </c>
      <c r="DG82" s="46" t="e">
        <f t="shared" si="181"/>
        <v>#REF!</v>
      </c>
      <c r="DH82" s="46" t="e">
        <f t="shared" si="181"/>
        <v>#REF!</v>
      </c>
      <c r="DI82" s="46" t="e">
        <f t="shared" si="181"/>
        <v>#REF!</v>
      </c>
      <c r="DJ82" s="46" t="e">
        <f t="shared" si="181"/>
        <v>#REF!</v>
      </c>
      <c r="DK82" s="46" t="e">
        <f t="shared" si="181"/>
        <v>#REF!</v>
      </c>
      <c r="DL82" s="45" t="e">
        <f t="shared" si="181"/>
        <v>#REF!</v>
      </c>
      <c r="DM82" s="44" t="e">
        <f t="shared" si="154"/>
        <v>#REF!</v>
      </c>
      <c r="DN82" s="43"/>
      <c r="DO82" s="46" t="e">
        <f t="shared" si="155"/>
        <v>#REF!</v>
      </c>
      <c r="DP82" s="46" t="e">
        <f t="shared" ref="DP82:EJ82" si="182">ROUND((+DO82-DP50+DP66),0)</f>
        <v>#REF!</v>
      </c>
      <c r="DQ82" s="46" t="e">
        <f t="shared" si="182"/>
        <v>#REF!</v>
      </c>
      <c r="DR82" s="46" t="e">
        <f t="shared" si="182"/>
        <v>#REF!</v>
      </c>
      <c r="DS82" s="46" t="e">
        <f t="shared" si="182"/>
        <v>#REF!</v>
      </c>
      <c r="DT82" s="46" t="e">
        <f t="shared" si="182"/>
        <v>#REF!</v>
      </c>
      <c r="DU82" s="46" t="e">
        <f t="shared" si="182"/>
        <v>#REF!</v>
      </c>
      <c r="DV82" s="46" t="e">
        <f t="shared" si="182"/>
        <v>#REF!</v>
      </c>
      <c r="DW82" s="46" t="e">
        <f t="shared" si="182"/>
        <v>#REF!</v>
      </c>
      <c r="DX82" s="46" t="e">
        <f t="shared" si="182"/>
        <v>#REF!</v>
      </c>
      <c r="DY82" s="46" t="e">
        <f t="shared" si="182"/>
        <v>#REF!</v>
      </c>
      <c r="DZ82" s="46" t="e">
        <f t="shared" si="182"/>
        <v>#REF!</v>
      </c>
      <c r="EA82" s="46" t="e">
        <f t="shared" si="182"/>
        <v>#REF!</v>
      </c>
      <c r="EB82" s="46" t="e">
        <f t="shared" si="182"/>
        <v>#REF!</v>
      </c>
      <c r="EC82" s="46" t="e">
        <f t="shared" si="182"/>
        <v>#REF!</v>
      </c>
      <c r="ED82" s="46" t="e">
        <f t="shared" si="182"/>
        <v>#REF!</v>
      </c>
      <c r="EE82" s="46" t="e">
        <f t="shared" si="182"/>
        <v>#REF!</v>
      </c>
      <c r="EF82" s="46" t="e">
        <f t="shared" si="182"/>
        <v>#REF!</v>
      </c>
      <c r="EG82" s="46" t="e">
        <f t="shared" si="182"/>
        <v>#REF!</v>
      </c>
      <c r="EH82" s="46" t="e">
        <f t="shared" si="182"/>
        <v>#REF!</v>
      </c>
      <c r="EI82" s="46" t="e">
        <f t="shared" si="182"/>
        <v>#REF!</v>
      </c>
      <c r="EJ82" s="45" t="e">
        <f t="shared" si="182"/>
        <v>#REF!</v>
      </c>
      <c r="EK82" s="44" t="e">
        <f t="shared" si="157"/>
        <v>#REF!</v>
      </c>
      <c r="EL82" s="43"/>
      <c r="EN82" s="21"/>
    </row>
    <row r="83" spans="1:144" s="13" customFormat="1" ht="25" customHeight="1">
      <c r="A83" s="24"/>
      <c r="B83" s="11"/>
      <c r="C83" s="49" t="s">
        <v>1</v>
      </c>
      <c r="D83" s="47">
        <v>0</v>
      </c>
      <c r="E83" s="46">
        <f t="shared" ref="E83:X83" si="183">ROUND((+D83-E51+E67),0)</f>
        <v>0</v>
      </c>
      <c r="F83" s="46">
        <f t="shared" si="183"/>
        <v>0</v>
      </c>
      <c r="G83" s="46">
        <f t="shared" si="183"/>
        <v>0</v>
      </c>
      <c r="H83" s="46">
        <f t="shared" si="183"/>
        <v>0</v>
      </c>
      <c r="I83" s="46">
        <f t="shared" si="183"/>
        <v>0</v>
      </c>
      <c r="J83" s="46">
        <f t="shared" si="183"/>
        <v>0</v>
      </c>
      <c r="K83" s="46">
        <f t="shared" si="183"/>
        <v>0</v>
      </c>
      <c r="L83" s="46">
        <f t="shared" si="183"/>
        <v>0</v>
      </c>
      <c r="M83" s="46">
        <f t="shared" si="183"/>
        <v>0</v>
      </c>
      <c r="N83" s="48">
        <f t="shared" si="183"/>
        <v>0</v>
      </c>
      <c r="O83" s="46">
        <f t="shared" si="183"/>
        <v>0</v>
      </c>
      <c r="P83" s="46">
        <f t="shared" si="183"/>
        <v>-23250</v>
      </c>
      <c r="Q83" s="46">
        <f t="shared" si="183"/>
        <v>-4766</v>
      </c>
      <c r="R83" s="46">
        <f t="shared" si="183"/>
        <v>0</v>
      </c>
      <c r="S83" s="46">
        <f t="shared" si="183"/>
        <v>0</v>
      </c>
      <c r="T83" s="46">
        <f t="shared" si="183"/>
        <v>0</v>
      </c>
      <c r="U83" s="46">
        <f t="shared" si="183"/>
        <v>0</v>
      </c>
      <c r="V83" s="46">
        <f t="shared" si="183"/>
        <v>0</v>
      </c>
      <c r="W83" s="46">
        <f t="shared" si="183"/>
        <v>0</v>
      </c>
      <c r="X83" s="46">
        <f t="shared" si="183"/>
        <v>0</v>
      </c>
      <c r="Z83" s="45">
        <f t="shared" si="144"/>
        <v>0</v>
      </c>
      <c r="AA83" s="47">
        <f t="shared" si="145"/>
        <v>0</v>
      </c>
      <c r="AB83" s="43"/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f t="shared" si="146"/>
        <v>0</v>
      </c>
      <c r="AN83" s="46">
        <f t="shared" si="146"/>
        <v>0</v>
      </c>
      <c r="AO83" s="46">
        <f t="shared" si="146"/>
        <v>0</v>
      </c>
      <c r="AP83" s="46">
        <f t="shared" si="146"/>
        <v>0</v>
      </c>
      <c r="AQ83" s="46">
        <f t="shared" si="146"/>
        <v>0</v>
      </c>
      <c r="AR83" s="46">
        <f t="shared" si="146"/>
        <v>0</v>
      </c>
      <c r="AS83" s="46">
        <f t="shared" si="146"/>
        <v>0</v>
      </c>
      <c r="AT83" s="46">
        <f t="shared" si="146"/>
        <v>0</v>
      </c>
      <c r="AU83" s="47">
        <f>+$AT$83</f>
        <v>0</v>
      </c>
      <c r="AV83" s="46" t="e">
        <f>ROUND((+#REF!-AV51+AV67),0)</f>
        <v>#REF!</v>
      </c>
      <c r="AW83" s="46" t="e">
        <f t="shared" ref="AW83:BQ83" si="184">ROUND((+AV83-AW51+AW67),0)</f>
        <v>#REF!</v>
      </c>
      <c r="AX83" s="46" t="e">
        <f t="shared" si="184"/>
        <v>#REF!</v>
      </c>
      <c r="AY83" s="46" t="e">
        <f t="shared" si="184"/>
        <v>#REF!</v>
      </c>
      <c r="AZ83" s="46" t="e">
        <f t="shared" si="184"/>
        <v>#REF!</v>
      </c>
      <c r="BA83" s="46" t="e">
        <f t="shared" si="184"/>
        <v>#REF!</v>
      </c>
      <c r="BB83" s="46" t="e">
        <f t="shared" si="184"/>
        <v>#REF!</v>
      </c>
      <c r="BC83" s="46" t="e">
        <f t="shared" si="184"/>
        <v>#REF!</v>
      </c>
      <c r="BD83" s="46" t="e">
        <f t="shared" si="184"/>
        <v>#REF!</v>
      </c>
      <c r="BE83" s="46" t="e">
        <f t="shared" si="184"/>
        <v>#REF!</v>
      </c>
      <c r="BF83" s="46" t="e">
        <f t="shared" si="184"/>
        <v>#REF!</v>
      </c>
      <c r="BG83" s="46" t="e">
        <f t="shared" si="184"/>
        <v>#REF!</v>
      </c>
      <c r="BH83" s="46" t="e">
        <f t="shared" si="184"/>
        <v>#REF!</v>
      </c>
      <c r="BI83" s="46" t="e">
        <f t="shared" si="184"/>
        <v>#REF!</v>
      </c>
      <c r="BJ83" s="46" t="e">
        <f t="shared" si="184"/>
        <v>#REF!</v>
      </c>
      <c r="BK83" s="46" t="e">
        <f t="shared" si="184"/>
        <v>#REF!</v>
      </c>
      <c r="BL83" s="46" t="e">
        <f t="shared" si="184"/>
        <v>#REF!</v>
      </c>
      <c r="BM83" s="46" t="e">
        <f t="shared" si="184"/>
        <v>#REF!</v>
      </c>
      <c r="BN83" s="46" t="e">
        <f t="shared" si="184"/>
        <v>#REF!</v>
      </c>
      <c r="BO83" s="46" t="e">
        <f t="shared" si="184"/>
        <v>#REF!</v>
      </c>
      <c r="BP83" s="46" t="e">
        <f t="shared" si="184"/>
        <v>#REF!</v>
      </c>
      <c r="BQ83" s="45" t="e">
        <f t="shared" si="184"/>
        <v>#REF!</v>
      </c>
      <c r="BR83" s="44" t="e">
        <f t="shared" si="148"/>
        <v>#REF!</v>
      </c>
      <c r="BS83" s="43"/>
      <c r="BT83" s="46" t="e">
        <f t="shared" si="149"/>
        <v>#REF!</v>
      </c>
      <c r="BU83" s="46" t="e">
        <f t="shared" ref="BU83:CO83" si="185">ROUND((+BT83-BU51+BU67),0)</f>
        <v>#REF!</v>
      </c>
      <c r="BV83" s="46" t="e">
        <f t="shared" si="185"/>
        <v>#REF!</v>
      </c>
      <c r="BW83" s="46" t="e">
        <f t="shared" si="185"/>
        <v>#REF!</v>
      </c>
      <c r="BX83" s="46" t="e">
        <f t="shared" si="185"/>
        <v>#REF!</v>
      </c>
      <c r="BY83" s="46" t="e">
        <f t="shared" si="185"/>
        <v>#REF!</v>
      </c>
      <c r="BZ83" s="46" t="e">
        <f t="shared" si="185"/>
        <v>#REF!</v>
      </c>
      <c r="CA83" s="46" t="e">
        <f t="shared" si="185"/>
        <v>#REF!</v>
      </c>
      <c r="CB83" s="46" t="e">
        <f t="shared" si="185"/>
        <v>#REF!</v>
      </c>
      <c r="CC83" s="46" t="e">
        <f t="shared" si="185"/>
        <v>#REF!</v>
      </c>
      <c r="CD83" s="46" t="e">
        <f t="shared" si="185"/>
        <v>#REF!</v>
      </c>
      <c r="CE83" s="46" t="e">
        <f t="shared" si="185"/>
        <v>#REF!</v>
      </c>
      <c r="CF83" s="46" t="e">
        <f t="shared" si="185"/>
        <v>#REF!</v>
      </c>
      <c r="CG83" s="46" t="e">
        <f t="shared" si="185"/>
        <v>#REF!</v>
      </c>
      <c r="CH83" s="46" t="e">
        <f t="shared" si="185"/>
        <v>#REF!</v>
      </c>
      <c r="CI83" s="46" t="e">
        <f t="shared" si="185"/>
        <v>#REF!</v>
      </c>
      <c r="CJ83" s="46" t="e">
        <f t="shared" si="185"/>
        <v>#REF!</v>
      </c>
      <c r="CK83" s="46" t="e">
        <f t="shared" si="185"/>
        <v>#REF!</v>
      </c>
      <c r="CL83" s="46" t="e">
        <f t="shared" si="185"/>
        <v>#REF!</v>
      </c>
      <c r="CM83" s="46" t="e">
        <f t="shared" si="185"/>
        <v>#REF!</v>
      </c>
      <c r="CN83" s="46" t="e">
        <f t="shared" si="185"/>
        <v>#REF!</v>
      </c>
      <c r="CO83" s="45" t="e">
        <f t="shared" si="185"/>
        <v>#REF!</v>
      </c>
      <c r="CP83" s="44" t="e">
        <f t="shared" si="151"/>
        <v>#REF!</v>
      </c>
      <c r="CQ83" s="43"/>
      <c r="CR83" s="46" t="e">
        <f t="shared" si="152"/>
        <v>#REF!</v>
      </c>
      <c r="CS83" s="46" t="e">
        <f t="shared" ref="CS83:DL83" si="186">ROUND((+CR83-CS51+CS67),0)</f>
        <v>#REF!</v>
      </c>
      <c r="CT83" s="46" t="e">
        <f t="shared" si="186"/>
        <v>#REF!</v>
      </c>
      <c r="CU83" s="46" t="e">
        <f t="shared" si="186"/>
        <v>#REF!</v>
      </c>
      <c r="CV83" s="46" t="e">
        <f t="shared" si="186"/>
        <v>#REF!</v>
      </c>
      <c r="CW83" s="46" t="e">
        <f t="shared" si="186"/>
        <v>#REF!</v>
      </c>
      <c r="CX83" s="46" t="e">
        <f t="shared" si="186"/>
        <v>#REF!</v>
      </c>
      <c r="CY83" s="46" t="e">
        <f t="shared" si="186"/>
        <v>#REF!</v>
      </c>
      <c r="CZ83" s="46" t="e">
        <f t="shared" si="186"/>
        <v>#REF!</v>
      </c>
      <c r="DA83" s="46" t="e">
        <f t="shared" si="186"/>
        <v>#REF!</v>
      </c>
      <c r="DB83" s="46" t="e">
        <f t="shared" si="186"/>
        <v>#REF!</v>
      </c>
      <c r="DC83" s="46" t="e">
        <f t="shared" si="186"/>
        <v>#REF!</v>
      </c>
      <c r="DD83" s="46" t="e">
        <f t="shared" si="186"/>
        <v>#REF!</v>
      </c>
      <c r="DE83" s="46" t="e">
        <f t="shared" si="186"/>
        <v>#REF!</v>
      </c>
      <c r="DF83" s="46" t="e">
        <f t="shared" si="186"/>
        <v>#REF!</v>
      </c>
      <c r="DG83" s="46" t="e">
        <f t="shared" si="186"/>
        <v>#REF!</v>
      </c>
      <c r="DH83" s="46" t="e">
        <f t="shared" si="186"/>
        <v>#REF!</v>
      </c>
      <c r="DI83" s="46" t="e">
        <f t="shared" si="186"/>
        <v>#REF!</v>
      </c>
      <c r="DJ83" s="46" t="e">
        <f t="shared" si="186"/>
        <v>#REF!</v>
      </c>
      <c r="DK83" s="46" t="e">
        <f t="shared" si="186"/>
        <v>#REF!</v>
      </c>
      <c r="DL83" s="45" t="e">
        <f t="shared" si="186"/>
        <v>#REF!</v>
      </c>
      <c r="DM83" s="44" t="e">
        <f t="shared" si="154"/>
        <v>#REF!</v>
      </c>
      <c r="DN83" s="43"/>
      <c r="DO83" s="46" t="e">
        <f t="shared" si="155"/>
        <v>#REF!</v>
      </c>
      <c r="DP83" s="46" t="e">
        <f t="shared" ref="DP83:EJ83" si="187">ROUND((+DO83-DP51+DP67),0)</f>
        <v>#REF!</v>
      </c>
      <c r="DQ83" s="46" t="e">
        <f t="shared" si="187"/>
        <v>#REF!</v>
      </c>
      <c r="DR83" s="46" t="e">
        <f t="shared" si="187"/>
        <v>#REF!</v>
      </c>
      <c r="DS83" s="46" t="e">
        <f t="shared" si="187"/>
        <v>#REF!</v>
      </c>
      <c r="DT83" s="46" t="e">
        <f t="shared" si="187"/>
        <v>#REF!</v>
      </c>
      <c r="DU83" s="46" t="e">
        <f t="shared" si="187"/>
        <v>#REF!</v>
      </c>
      <c r="DV83" s="46" t="e">
        <f t="shared" si="187"/>
        <v>#REF!</v>
      </c>
      <c r="DW83" s="46" t="e">
        <f t="shared" si="187"/>
        <v>#REF!</v>
      </c>
      <c r="DX83" s="46" t="e">
        <f t="shared" si="187"/>
        <v>#REF!</v>
      </c>
      <c r="DY83" s="46" t="e">
        <f t="shared" si="187"/>
        <v>#REF!</v>
      </c>
      <c r="DZ83" s="46" t="e">
        <f t="shared" si="187"/>
        <v>#REF!</v>
      </c>
      <c r="EA83" s="46" t="e">
        <f t="shared" si="187"/>
        <v>#REF!</v>
      </c>
      <c r="EB83" s="46" t="e">
        <f t="shared" si="187"/>
        <v>#REF!</v>
      </c>
      <c r="EC83" s="46" t="e">
        <f t="shared" si="187"/>
        <v>#REF!</v>
      </c>
      <c r="ED83" s="46" t="e">
        <f t="shared" si="187"/>
        <v>#REF!</v>
      </c>
      <c r="EE83" s="46" t="e">
        <f t="shared" si="187"/>
        <v>#REF!</v>
      </c>
      <c r="EF83" s="46" t="e">
        <f t="shared" si="187"/>
        <v>#REF!</v>
      </c>
      <c r="EG83" s="46" t="e">
        <f t="shared" si="187"/>
        <v>#REF!</v>
      </c>
      <c r="EH83" s="46" t="e">
        <f t="shared" si="187"/>
        <v>#REF!</v>
      </c>
      <c r="EI83" s="46" t="e">
        <f t="shared" si="187"/>
        <v>#REF!</v>
      </c>
      <c r="EJ83" s="45" t="e">
        <f t="shared" si="187"/>
        <v>#REF!</v>
      </c>
      <c r="EK83" s="44" t="e">
        <f t="shared" si="157"/>
        <v>#REF!</v>
      </c>
      <c r="EL83" s="43"/>
      <c r="EN83" s="21"/>
    </row>
    <row r="84" spans="1:144" s="13" customFormat="1" ht="25" customHeight="1" thickBot="1">
      <c r="A84" s="24"/>
      <c r="B84" s="11"/>
      <c r="C84" s="42" t="s">
        <v>0</v>
      </c>
      <c r="D84" s="40">
        <v>-8046</v>
      </c>
      <c r="E84" s="39">
        <f t="shared" ref="E84:X84" si="188">ROUND((+D84-E55+E71),0)</f>
        <v>-1388</v>
      </c>
      <c r="F84" s="39">
        <f t="shared" si="188"/>
        <v>0</v>
      </c>
      <c r="G84" s="39">
        <f t="shared" si="188"/>
        <v>0</v>
      </c>
      <c r="H84" s="39">
        <f t="shared" si="188"/>
        <v>-1824</v>
      </c>
      <c r="I84" s="39">
        <f t="shared" si="188"/>
        <v>0</v>
      </c>
      <c r="J84" s="39">
        <f t="shared" si="188"/>
        <v>0</v>
      </c>
      <c r="K84" s="39">
        <f t="shared" si="188"/>
        <v>0</v>
      </c>
      <c r="L84" s="39">
        <f t="shared" si="188"/>
        <v>0</v>
      </c>
      <c r="M84" s="39">
        <f t="shared" si="188"/>
        <v>0</v>
      </c>
      <c r="N84" s="41">
        <f t="shared" si="188"/>
        <v>0</v>
      </c>
      <c r="O84" s="39">
        <f t="shared" si="188"/>
        <v>0</v>
      </c>
      <c r="P84" s="39">
        <f t="shared" si="188"/>
        <v>-1862</v>
      </c>
      <c r="Q84" s="39">
        <f t="shared" si="188"/>
        <v>-7935</v>
      </c>
      <c r="R84" s="39">
        <f t="shared" si="188"/>
        <v>-5961</v>
      </c>
      <c r="S84" s="39">
        <f t="shared" si="188"/>
        <v>-5696</v>
      </c>
      <c r="T84" s="39">
        <f t="shared" si="188"/>
        <v>-7844</v>
      </c>
      <c r="U84" s="39">
        <f t="shared" si="188"/>
        <v>0</v>
      </c>
      <c r="V84" s="39">
        <f t="shared" si="188"/>
        <v>0</v>
      </c>
      <c r="W84" s="39">
        <f t="shared" si="188"/>
        <v>0</v>
      </c>
      <c r="X84" s="39">
        <f t="shared" si="188"/>
        <v>0</v>
      </c>
      <c r="Z84" s="38">
        <f>ROUND((+X84-Z55+Z71),0)</f>
        <v>0</v>
      </c>
      <c r="AA84" s="40">
        <f t="shared" si="145"/>
        <v>0</v>
      </c>
      <c r="AB84" s="36"/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-486</v>
      </c>
      <c r="AI84" s="39">
        <v>-2095</v>
      </c>
      <c r="AJ84" s="39">
        <v>0</v>
      </c>
      <c r="AK84" s="39">
        <v>0</v>
      </c>
      <c r="AL84" s="39">
        <v>0</v>
      </c>
      <c r="AM84" s="39">
        <f t="shared" ref="AM84:AP84" si="189">ROUND((+AL84-AM55+AM71),0)</f>
        <v>0</v>
      </c>
      <c r="AN84" s="39">
        <f t="shared" si="189"/>
        <v>0</v>
      </c>
      <c r="AO84" s="39">
        <f t="shared" si="189"/>
        <v>0</v>
      </c>
      <c r="AP84" s="39">
        <f t="shared" si="189"/>
        <v>0</v>
      </c>
      <c r="AQ84" s="39">
        <f>ROUND((+AP84-AQ55+AQ71),0)</f>
        <v>0</v>
      </c>
      <c r="AR84" s="39">
        <f>ROUND((+AQ84-AR55+AR71),0)</f>
        <v>0</v>
      </c>
      <c r="AS84" s="39">
        <f>ROUND((+AR84-AS55+AS71),0)</f>
        <v>0</v>
      </c>
      <c r="AT84" s="39">
        <f>ROUND((+AS84-AT55+AT71),0)</f>
        <v>0</v>
      </c>
      <c r="AU84" s="40">
        <f>+$AT$84</f>
        <v>0</v>
      </c>
      <c r="AV84" s="39" t="e">
        <f>ROUND((+#REF!-AV55+AV71),0)</f>
        <v>#REF!</v>
      </c>
      <c r="AW84" s="39" t="e">
        <f t="shared" ref="AW84:BQ84" si="190">ROUND((+AV84-AW55+AW71),0)</f>
        <v>#REF!</v>
      </c>
      <c r="AX84" s="39" t="e">
        <f t="shared" si="190"/>
        <v>#REF!</v>
      </c>
      <c r="AY84" s="39" t="e">
        <f t="shared" si="190"/>
        <v>#REF!</v>
      </c>
      <c r="AZ84" s="39" t="e">
        <f t="shared" si="190"/>
        <v>#REF!</v>
      </c>
      <c r="BA84" s="39" t="e">
        <f t="shared" si="190"/>
        <v>#REF!</v>
      </c>
      <c r="BB84" s="39" t="e">
        <f t="shared" si="190"/>
        <v>#REF!</v>
      </c>
      <c r="BC84" s="39" t="e">
        <f t="shared" si="190"/>
        <v>#REF!</v>
      </c>
      <c r="BD84" s="39" t="e">
        <f t="shared" si="190"/>
        <v>#REF!</v>
      </c>
      <c r="BE84" s="39" t="e">
        <f t="shared" si="190"/>
        <v>#REF!</v>
      </c>
      <c r="BF84" s="39" t="e">
        <f t="shared" si="190"/>
        <v>#REF!</v>
      </c>
      <c r="BG84" s="39" t="e">
        <f t="shared" si="190"/>
        <v>#REF!</v>
      </c>
      <c r="BH84" s="39" t="e">
        <f t="shared" si="190"/>
        <v>#REF!</v>
      </c>
      <c r="BI84" s="39" t="e">
        <f t="shared" si="190"/>
        <v>#REF!</v>
      </c>
      <c r="BJ84" s="39" t="e">
        <f t="shared" si="190"/>
        <v>#REF!</v>
      </c>
      <c r="BK84" s="39" t="e">
        <f t="shared" si="190"/>
        <v>#REF!</v>
      </c>
      <c r="BL84" s="39" t="e">
        <f t="shared" si="190"/>
        <v>#REF!</v>
      </c>
      <c r="BM84" s="39" t="e">
        <f t="shared" si="190"/>
        <v>#REF!</v>
      </c>
      <c r="BN84" s="39" t="e">
        <f t="shared" si="190"/>
        <v>#REF!</v>
      </c>
      <c r="BO84" s="39" t="e">
        <f t="shared" si="190"/>
        <v>#REF!</v>
      </c>
      <c r="BP84" s="39" t="e">
        <f t="shared" si="190"/>
        <v>#REF!</v>
      </c>
      <c r="BQ84" s="38" t="e">
        <f t="shared" si="190"/>
        <v>#REF!</v>
      </c>
      <c r="BR84" s="37" t="e">
        <f t="shared" si="148"/>
        <v>#REF!</v>
      </c>
      <c r="BS84" s="36"/>
      <c r="BT84" s="39" t="e">
        <f>ROUND((+BQ84-BT55+BT71),0)</f>
        <v>#REF!</v>
      </c>
      <c r="BU84" s="39" t="e">
        <f t="shared" ref="BU84:CO84" si="191">ROUND((+BT84-BU55+BU71),0)</f>
        <v>#REF!</v>
      </c>
      <c r="BV84" s="39" t="e">
        <f t="shared" si="191"/>
        <v>#REF!</v>
      </c>
      <c r="BW84" s="39" t="e">
        <f t="shared" si="191"/>
        <v>#REF!</v>
      </c>
      <c r="BX84" s="39" t="e">
        <f t="shared" si="191"/>
        <v>#REF!</v>
      </c>
      <c r="BY84" s="39" t="e">
        <f t="shared" si="191"/>
        <v>#REF!</v>
      </c>
      <c r="BZ84" s="39" t="e">
        <f t="shared" si="191"/>
        <v>#REF!</v>
      </c>
      <c r="CA84" s="39" t="e">
        <f t="shared" si="191"/>
        <v>#REF!</v>
      </c>
      <c r="CB84" s="39" t="e">
        <f t="shared" si="191"/>
        <v>#REF!</v>
      </c>
      <c r="CC84" s="39" t="e">
        <f t="shared" si="191"/>
        <v>#REF!</v>
      </c>
      <c r="CD84" s="39" t="e">
        <f t="shared" si="191"/>
        <v>#REF!</v>
      </c>
      <c r="CE84" s="39" t="e">
        <f t="shared" si="191"/>
        <v>#REF!</v>
      </c>
      <c r="CF84" s="39" t="e">
        <f t="shared" si="191"/>
        <v>#REF!</v>
      </c>
      <c r="CG84" s="39" t="e">
        <f t="shared" si="191"/>
        <v>#REF!</v>
      </c>
      <c r="CH84" s="39" t="e">
        <f t="shared" si="191"/>
        <v>#REF!</v>
      </c>
      <c r="CI84" s="39" t="e">
        <f t="shared" si="191"/>
        <v>#REF!</v>
      </c>
      <c r="CJ84" s="39" t="e">
        <f t="shared" si="191"/>
        <v>#REF!</v>
      </c>
      <c r="CK84" s="39" t="e">
        <f t="shared" si="191"/>
        <v>#REF!</v>
      </c>
      <c r="CL84" s="39" t="e">
        <f t="shared" si="191"/>
        <v>#REF!</v>
      </c>
      <c r="CM84" s="39" t="e">
        <f t="shared" si="191"/>
        <v>#REF!</v>
      </c>
      <c r="CN84" s="39" t="e">
        <f t="shared" si="191"/>
        <v>#REF!</v>
      </c>
      <c r="CO84" s="38" t="e">
        <f t="shared" si="191"/>
        <v>#REF!</v>
      </c>
      <c r="CP84" s="37" t="e">
        <f t="shared" si="151"/>
        <v>#REF!</v>
      </c>
      <c r="CQ84" s="36"/>
      <c r="CR84" s="39" t="e">
        <f>ROUND((+CO84-CR55+CR71),0)</f>
        <v>#REF!</v>
      </c>
      <c r="CS84" s="39" t="e">
        <f t="shared" ref="CS84:DL84" si="192">ROUND((+CR84-CS55+CS71),0)</f>
        <v>#REF!</v>
      </c>
      <c r="CT84" s="39" t="e">
        <f t="shared" si="192"/>
        <v>#REF!</v>
      </c>
      <c r="CU84" s="39" t="e">
        <f t="shared" si="192"/>
        <v>#REF!</v>
      </c>
      <c r="CV84" s="39" t="e">
        <f t="shared" si="192"/>
        <v>#REF!</v>
      </c>
      <c r="CW84" s="39" t="e">
        <f t="shared" si="192"/>
        <v>#REF!</v>
      </c>
      <c r="CX84" s="39" t="e">
        <f t="shared" si="192"/>
        <v>#REF!</v>
      </c>
      <c r="CY84" s="39" t="e">
        <f t="shared" si="192"/>
        <v>#REF!</v>
      </c>
      <c r="CZ84" s="39" t="e">
        <f t="shared" si="192"/>
        <v>#REF!</v>
      </c>
      <c r="DA84" s="39" t="e">
        <f t="shared" si="192"/>
        <v>#REF!</v>
      </c>
      <c r="DB84" s="39" t="e">
        <f t="shared" si="192"/>
        <v>#REF!</v>
      </c>
      <c r="DC84" s="39" t="e">
        <f t="shared" si="192"/>
        <v>#REF!</v>
      </c>
      <c r="DD84" s="39" t="e">
        <f t="shared" si="192"/>
        <v>#REF!</v>
      </c>
      <c r="DE84" s="39" t="e">
        <f t="shared" si="192"/>
        <v>#REF!</v>
      </c>
      <c r="DF84" s="39" t="e">
        <f t="shared" si="192"/>
        <v>#REF!</v>
      </c>
      <c r="DG84" s="39" t="e">
        <f t="shared" si="192"/>
        <v>#REF!</v>
      </c>
      <c r="DH84" s="39" t="e">
        <f t="shared" si="192"/>
        <v>#REF!</v>
      </c>
      <c r="DI84" s="39" t="e">
        <f t="shared" si="192"/>
        <v>#REF!</v>
      </c>
      <c r="DJ84" s="39" t="e">
        <f t="shared" si="192"/>
        <v>#REF!</v>
      </c>
      <c r="DK84" s="39" t="e">
        <f t="shared" si="192"/>
        <v>#REF!</v>
      </c>
      <c r="DL84" s="38" t="e">
        <f t="shared" si="192"/>
        <v>#REF!</v>
      </c>
      <c r="DM84" s="37" t="e">
        <f t="shared" si="154"/>
        <v>#REF!</v>
      </c>
      <c r="DN84" s="36"/>
      <c r="DO84" s="39" t="e">
        <f>ROUND((+DL84-DO55+DO71),0)</f>
        <v>#REF!</v>
      </c>
      <c r="DP84" s="39" t="e">
        <f t="shared" ref="DP84:EJ84" si="193">ROUND((+DO84-DP55+DP71),0)</f>
        <v>#REF!</v>
      </c>
      <c r="DQ84" s="39" t="e">
        <f t="shared" si="193"/>
        <v>#REF!</v>
      </c>
      <c r="DR84" s="39" t="e">
        <f t="shared" si="193"/>
        <v>#REF!</v>
      </c>
      <c r="DS84" s="39" t="e">
        <f t="shared" si="193"/>
        <v>#REF!</v>
      </c>
      <c r="DT84" s="39" t="e">
        <f t="shared" si="193"/>
        <v>#REF!</v>
      </c>
      <c r="DU84" s="39" t="e">
        <f t="shared" si="193"/>
        <v>#REF!</v>
      </c>
      <c r="DV84" s="39" t="e">
        <f t="shared" si="193"/>
        <v>#REF!</v>
      </c>
      <c r="DW84" s="39" t="e">
        <f t="shared" si="193"/>
        <v>#REF!</v>
      </c>
      <c r="DX84" s="39" t="e">
        <f t="shared" si="193"/>
        <v>#REF!</v>
      </c>
      <c r="DY84" s="39" t="e">
        <f t="shared" si="193"/>
        <v>#REF!</v>
      </c>
      <c r="DZ84" s="39" t="e">
        <f t="shared" si="193"/>
        <v>#REF!</v>
      </c>
      <c r="EA84" s="39" t="e">
        <f t="shared" si="193"/>
        <v>#REF!</v>
      </c>
      <c r="EB84" s="39" t="e">
        <f t="shared" si="193"/>
        <v>#REF!</v>
      </c>
      <c r="EC84" s="39" t="e">
        <f t="shared" si="193"/>
        <v>#REF!</v>
      </c>
      <c r="ED84" s="39" t="e">
        <f t="shared" si="193"/>
        <v>#REF!</v>
      </c>
      <c r="EE84" s="39" t="e">
        <f t="shared" si="193"/>
        <v>#REF!</v>
      </c>
      <c r="EF84" s="39" t="e">
        <f t="shared" si="193"/>
        <v>#REF!</v>
      </c>
      <c r="EG84" s="39" t="e">
        <f t="shared" si="193"/>
        <v>#REF!</v>
      </c>
      <c r="EH84" s="39" t="e">
        <f t="shared" si="193"/>
        <v>#REF!</v>
      </c>
      <c r="EI84" s="39" t="e">
        <f t="shared" si="193"/>
        <v>#REF!</v>
      </c>
      <c r="EJ84" s="38" t="e">
        <f t="shared" si="193"/>
        <v>#REF!</v>
      </c>
      <c r="EK84" s="37" t="e">
        <f t="shared" si="157"/>
        <v>#REF!</v>
      </c>
      <c r="EL84" s="36"/>
      <c r="EN84" s="21"/>
    </row>
    <row r="85" spans="1:144" s="13" customFormat="1" ht="25" customHeight="1">
      <c r="A85" s="24"/>
      <c r="B85" s="11"/>
      <c r="C85" s="35">
        <f ca="1">NOW()</f>
        <v>42067.585426041667</v>
      </c>
      <c r="D85" s="30"/>
      <c r="E85" s="34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33"/>
      <c r="Z85" s="33"/>
      <c r="AA85" s="30"/>
      <c r="AB85" s="30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0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0"/>
      <c r="BS85" s="29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0"/>
      <c r="CQ85" s="29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0"/>
      <c r="DN85" s="29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0"/>
      <c r="EL85" s="29"/>
      <c r="EN85" s="21"/>
    </row>
    <row r="86" spans="1:144" s="13" customFormat="1" ht="20.05" customHeight="1">
      <c r="A86" s="24"/>
      <c r="B86" s="11"/>
      <c r="C86" s="32"/>
      <c r="D86" s="30"/>
      <c r="E86" s="31">
        <f t="shared" ref="E86:X86" si="194">+E4+E15+E20+E22-E52-E53-E54-E56-E57-E58</f>
        <v>31264377.906999279</v>
      </c>
      <c r="F86" s="31">
        <f t="shared" si="194"/>
        <v>18536678.376999281</v>
      </c>
      <c r="G86" s="31">
        <f t="shared" si="194"/>
        <v>18530022.796999279</v>
      </c>
      <c r="H86" s="31">
        <f t="shared" si="194"/>
        <v>25933808.176999282</v>
      </c>
      <c r="I86" s="31">
        <f t="shared" si="194"/>
        <v>47459523.016999282</v>
      </c>
      <c r="J86" s="31">
        <f t="shared" si="194"/>
        <v>48487655.636999279</v>
      </c>
      <c r="K86" s="31">
        <f t="shared" si="194"/>
        <v>47078207.196999274</v>
      </c>
      <c r="L86" s="31">
        <f t="shared" si="194"/>
        <v>50955214.316999264</v>
      </c>
      <c r="M86" s="31">
        <f t="shared" si="194"/>
        <v>55388041.116999261</v>
      </c>
      <c r="N86" s="31">
        <f t="shared" si="194"/>
        <v>48044241.47699926</v>
      </c>
      <c r="O86" s="31">
        <f t="shared" si="194"/>
        <v>39081551.646999262</v>
      </c>
      <c r="P86" s="31">
        <f t="shared" si="194"/>
        <v>10624876.146999264</v>
      </c>
      <c r="Q86" s="31">
        <f t="shared" si="194"/>
        <v>12614411.016999265</v>
      </c>
      <c r="R86" s="31">
        <f t="shared" si="194"/>
        <v>17297349.646999262</v>
      </c>
      <c r="S86" s="31">
        <f t="shared" si="194"/>
        <v>16043228.57699926</v>
      </c>
      <c r="T86" s="31">
        <f t="shared" si="194"/>
        <v>10870210.646999259</v>
      </c>
      <c r="U86" s="31">
        <f t="shared" si="194"/>
        <v>76487271.216999248</v>
      </c>
      <c r="V86" s="31">
        <f t="shared" si="194"/>
        <v>34075016.976999238</v>
      </c>
      <c r="W86" s="31">
        <f t="shared" si="194"/>
        <v>44508336.376999229</v>
      </c>
      <c r="X86" s="31">
        <f t="shared" si="194"/>
        <v>54726908.876999244</v>
      </c>
      <c r="Z86" s="31">
        <f>+Z4+Z15+Z20+Z22-Z52-Z53-Z54-Z56-Z57-Z58</f>
        <v>59546019.276999243</v>
      </c>
      <c r="AA86" s="30"/>
      <c r="AB86" s="30"/>
      <c r="AC86" s="31">
        <v>48281687.986999266</v>
      </c>
      <c r="AD86" s="31">
        <v>48664758.516999267</v>
      </c>
      <c r="AE86" s="31">
        <v>49285249.136999257</v>
      </c>
      <c r="AF86" s="31">
        <v>45744846.40699926</v>
      </c>
      <c r="AG86" s="31">
        <v>39962103.596999265</v>
      </c>
      <c r="AH86" s="31">
        <v>17671703.036999263</v>
      </c>
      <c r="AI86" s="31">
        <v>46368851.506999269</v>
      </c>
      <c r="AJ86" s="31">
        <v>39259086.826999277</v>
      </c>
      <c r="AK86" s="31">
        <v>50835229.566999272</v>
      </c>
      <c r="AL86" s="31">
        <v>68124172.696999267</v>
      </c>
      <c r="AM86" s="31">
        <f t="shared" ref="AM86:AT86" si="195">+AM4+AM15+AM20+AM22-AM52-AM53-AM54-AM56-AM57-AM58</f>
        <v>78817986.006999269</v>
      </c>
      <c r="AN86" s="31">
        <f t="shared" si="195"/>
        <v>38476498.726999253</v>
      </c>
      <c r="AO86" s="31">
        <f t="shared" si="195"/>
        <v>39793484.336999252</v>
      </c>
      <c r="AP86" s="31">
        <f t="shared" si="195"/>
        <v>60656439.236999266</v>
      </c>
      <c r="AQ86" s="31">
        <f t="shared" si="195"/>
        <v>63335401.26699926</v>
      </c>
      <c r="AR86" s="31">
        <f t="shared" si="195"/>
        <v>43498022.426999263</v>
      </c>
      <c r="AS86" s="31">
        <f t="shared" si="195"/>
        <v>64719958.15699926</v>
      </c>
      <c r="AT86" s="31">
        <f t="shared" si="195"/>
        <v>84059945.01699926</v>
      </c>
      <c r="AU86" s="30"/>
      <c r="AV86" s="31" t="e">
        <f t="shared" ref="AV86:BQ86" si="196">+AV4+AV15+AV20+AV22-AV52-AV53-AV54-AV56-AV57-AV58</f>
        <v>#REF!</v>
      </c>
      <c r="AW86" s="31" t="e">
        <f t="shared" si="196"/>
        <v>#REF!</v>
      </c>
      <c r="AX86" s="31" t="e">
        <f t="shared" si="196"/>
        <v>#REF!</v>
      </c>
      <c r="AY86" s="31" t="e">
        <f t="shared" si="196"/>
        <v>#REF!</v>
      </c>
      <c r="AZ86" s="31" t="e">
        <f t="shared" si="196"/>
        <v>#REF!</v>
      </c>
      <c r="BA86" s="31" t="e">
        <f t="shared" si="196"/>
        <v>#REF!</v>
      </c>
      <c r="BB86" s="31" t="e">
        <f t="shared" si="196"/>
        <v>#REF!</v>
      </c>
      <c r="BC86" s="31" t="e">
        <f t="shared" si="196"/>
        <v>#REF!</v>
      </c>
      <c r="BD86" s="31" t="e">
        <f t="shared" si="196"/>
        <v>#REF!</v>
      </c>
      <c r="BE86" s="31" t="e">
        <f t="shared" si="196"/>
        <v>#REF!</v>
      </c>
      <c r="BF86" s="31" t="e">
        <f t="shared" si="196"/>
        <v>#REF!</v>
      </c>
      <c r="BG86" s="31" t="e">
        <f t="shared" si="196"/>
        <v>#REF!</v>
      </c>
      <c r="BH86" s="31" t="e">
        <f t="shared" si="196"/>
        <v>#REF!</v>
      </c>
      <c r="BI86" s="31" t="e">
        <f t="shared" si="196"/>
        <v>#REF!</v>
      </c>
      <c r="BJ86" s="31" t="e">
        <f t="shared" si="196"/>
        <v>#REF!</v>
      </c>
      <c r="BK86" s="31" t="e">
        <f t="shared" si="196"/>
        <v>#REF!</v>
      </c>
      <c r="BL86" s="31" t="e">
        <f t="shared" si="196"/>
        <v>#REF!</v>
      </c>
      <c r="BM86" s="31" t="e">
        <f t="shared" si="196"/>
        <v>#REF!</v>
      </c>
      <c r="BN86" s="31" t="e">
        <f t="shared" si="196"/>
        <v>#REF!</v>
      </c>
      <c r="BO86" s="31" t="e">
        <f t="shared" si="196"/>
        <v>#REF!</v>
      </c>
      <c r="BP86" s="31" t="e">
        <f t="shared" si="196"/>
        <v>#REF!</v>
      </c>
      <c r="BQ86" s="31" t="e">
        <f t="shared" si="196"/>
        <v>#REF!</v>
      </c>
      <c r="BR86" s="30"/>
      <c r="BS86" s="29"/>
      <c r="BT86" s="31" t="e">
        <f t="shared" ref="BT86:CO86" si="197">+BT4+BT15+BT20+BT22-BT52-BT53-BT54-BT56-BT57-BT58</f>
        <v>#REF!</v>
      </c>
      <c r="BU86" s="31" t="e">
        <f t="shared" si="197"/>
        <v>#REF!</v>
      </c>
      <c r="BV86" s="31" t="e">
        <f t="shared" si="197"/>
        <v>#REF!</v>
      </c>
      <c r="BW86" s="31" t="e">
        <f t="shared" si="197"/>
        <v>#REF!</v>
      </c>
      <c r="BX86" s="31" t="e">
        <f t="shared" si="197"/>
        <v>#REF!</v>
      </c>
      <c r="BY86" s="31" t="e">
        <f t="shared" si="197"/>
        <v>#REF!</v>
      </c>
      <c r="BZ86" s="31" t="e">
        <f t="shared" si="197"/>
        <v>#REF!</v>
      </c>
      <c r="CA86" s="31" t="e">
        <f t="shared" si="197"/>
        <v>#REF!</v>
      </c>
      <c r="CB86" s="31" t="e">
        <f t="shared" si="197"/>
        <v>#REF!</v>
      </c>
      <c r="CC86" s="31" t="e">
        <f t="shared" si="197"/>
        <v>#REF!</v>
      </c>
      <c r="CD86" s="31" t="e">
        <f t="shared" si="197"/>
        <v>#REF!</v>
      </c>
      <c r="CE86" s="31" t="e">
        <f t="shared" si="197"/>
        <v>#REF!</v>
      </c>
      <c r="CF86" s="31" t="e">
        <f t="shared" si="197"/>
        <v>#REF!</v>
      </c>
      <c r="CG86" s="31" t="e">
        <f t="shared" si="197"/>
        <v>#REF!</v>
      </c>
      <c r="CH86" s="31" t="e">
        <f t="shared" si="197"/>
        <v>#REF!</v>
      </c>
      <c r="CI86" s="31" t="e">
        <f t="shared" si="197"/>
        <v>#REF!</v>
      </c>
      <c r="CJ86" s="31" t="e">
        <f t="shared" si="197"/>
        <v>#REF!</v>
      </c>
      <c r="CK86" s="31" t="e">
        <f t="shared" si="197"/>
        <v>#REF!</v>
      </c>
      <c r="CL86" s="31" t="e">
        <f t="shared" si="197"/>
        <v>#REF!</v>
      </c>
      <c r="CM86" s="31" t="e">
        <f t="shared" si="197"/>
        <v>#REF!</v>
      </c>
      <c r="CN86" s="31" t="e">
        <f t="shared" si="197"/>
        <v>#REF!</v>
      </c>
      <c r="CO86" s="31" t="e">
        <f t="shared" si="197"/>
        <v>#REF!</v>
      </c>
      <c r="CP86" s="30"/>
      <c r="CQ86" s="29"/>
      <c r="CR86" s="31" t="e">
        <f t="shared" ref="CR86:DL86" si="198">+CR4+CR15+CR20+CR22-CR52-CR53-CR54-CR56-CR57-CR58</f>
        <v>#REF!</v>
      </c>
      <c r="CS86" s="31" t="e">
        <f t="shared" si="198"/>
        <v>#REF!</v>
      </c>
      <c r="CT86" s="31" t="e">
        <f t="shared" si="198"/>
        <v>#REF!</v>
      </c>
      <c r="CU86" s="31" t="e">
        <f t="shared" si="198"/>
        <v>#REF!</v>
      </c>
      <c r="CV86" s="31" t="e">
        <f t="shared" si="198"/>
        <v>#REF!</v>
      </c>
      <c r="CW86" s="31" t="e">
        <f t="shared" si="198"/>
        <v>#REF!</v>
      </c>
      <c r="CX86" s="31" t="e">
        <f t="shared" si="198"/>
        <v>#REF!</v>
      </c>
      <c r="CY86" s="31" t="e">
        <f t="shared" si="198"/>
        <v>#REF!</v>
      </c>
      <c r="CZ86" s="31" t="e">
        <f t="shared" si="198"/>
        <v>#REF!</v>
      </c>
      <c r="DA86" s="31" t="e">
        <f t="shared" si="198"/>
        <v>#REF!</v>
      </c>
      <c r="DB86" s="31" t="e">
        <f t="shared" si="198"/>
        <v>#REF!</v>
      </c>
      <c r="DC86" s="31" t="e">
        <f t="shared" si="198"/>
        <v>#REF!</v>
      </c>
      <c r="DD86" s="31" t="e">
        <f t="shared" si="198"/>
        <v>#REF!</v>
      </c>
      <c r="DE86" s="31" t="e">
        <f t="shared" si="198"/>
        <v>#REF!</v>
      </c>
      <c r="DF86" s="31" t="e">
        <f t="shared" si="198"/>
        <v>#REF!</v>
      </c>
      <c r="DG86" s="31" t="e">
        <f t="shared" si="198"/>
        <v>#REF!</v>
      </c>
      <c r="DH86" s="31" t="e">
        <f t="shared" si="198"/>
        <v>#REF!</v>
      </c>
      <c r="DI86" s="31" t="e">
        <f t="shared" si="198"/>
        <v>#REF!</v>
      </c>
      <c r="DJ86" s="31" t="e">
        <f t="shared" si="198"/>
        <v>#REF!</v>
      </c>
      <c r="DK86" s="31" t="e">
        <f t="shared" si="198"/>
        <v>#REF!</v>
      </c>
      <c r="DL86" s="31" t="e">
        <f t="shared" si="198"/>
        <v>#REF!</v>
      </c>
      <c r="DM86" s="30"/>
      <c r="DN86" s="29"/>
      <c r="DO86" s="31" t="e">
        <f t="shared" ref="DO86:EJ86" si="199">+DO4+DO15+DO20+DO22-DO52-DO53-DO54-DO56-DO57-DO58</f>
        <v>#REF!</v>
      </c>
      <c r="DP86" s="31" t="e">
        <f t="shared" si="199"/>
        <v>#REF!</v>
      </c>
      <c r="DQ86" s="31" t="e">
        <f t="shared" si="199"/>
        <v>#REF!</v>
      </c>
      <c r="DR86" s="31" t="e">
        <f t="shared" si="199"/>
        <v>#REF!</v>
      </c>
      <c r="DS86" s="31" t="e">
        <f t="shared" si="199"/>
        <v>#REF!</v>
      </c>
      <c r="DT86" s="31" t="e">
        <f t="shared" si="199"/>
        <v>#REF!</v>
      </c>
      <c r="DU86" s="31" t="e">
        <f t="shared" si="199"/>
        <v>#REF!</v>
      </c>
      <c r="DV86" s="31" t="e">
        <f t="shared" si="199"/>
        <v>#REF!</v>
      </c>
      <c r="DW86" s="31" t="e">
        <f t="shared" si="199"/>
        <v>#REF!</v>
      </c>
      <c r="DX86" s="31" t="e">
        <f t="shared" si="199"/>
        <v>#REF!</v>
      </c>
      <c r="DY86" s="31" t="e">
        <f t="shared" si="199"/>
        <v>#REF!</v>
      </c>
      <c r="DZ86" s="31" t="e">
        <f t="shared" si="199"/>
        <v>#REF!</v>
      </c>
      <c r="EA86" s="31" t="e">
        <f t="shared" si="199"/>
        <v>#REF!</v>
      </c>
      <c r="EB86" s="31" t="e">
        <f t="shared" si="199"/>
        <v>#REF!</v>
      </c>
      <c r="EC86" s="31" t="e">
        <f t="shared" si="199"/>
        <v>#REF!</v>
      </c>
      <c r="ED86" s="31" t="e">
        <f t="shared" si="199"/>
        <v>#REF!</v>
      </c>
      <c r="EE86" s="31" t="e">
        <f t="shared" si="199"/>
        <v>#REF!</v>
      </c>
      <c r="EF86" s="31" t="e">
        <f t="shared" si="199"/>
        <v>#REF!</v>
      </c>
      <c r="EG86" s="31" t="e">
        <f t="shared" si="199"/>
        <v>#REF!</v>
      </c>
      <c r="EH86" s="31" t="e">
        <f t="shared" si="199"/>
        <v>#REF!</v>
      </c>
      <c r="EI86" s="31" t="e">
        <f t="shared" si="199"/>
        <v>#REF!</v>
      </c>
      <c r="EJ86" s="31" t="e">
        <f t="shared" si="199"/>
        <v>#REF!</v>
      </c>
      <c r="EK86" s="30"/>
      <c r="EL86" s="29"/>
      <c r="EN86" s="21"/>
    </row>
    <row r="87" spans="1:144" s="13" customFormat="1" ht="20.05" customHeight="1">
      <c r="A87" s="24"/>
      <c r="B87" s="11"/>
      <c r="C87" s="32"/>
      <c r="D87" s="30"/>
      <c r="E87" s="31">
        <f t="shared" ref="E87:X87" si="200">-D6+E45+E46+E48+E49+E50+E51+E55</f>
        <v>32558345.469999999</v>
      </c>
      <c r="F87" s="31">
        <f t="shared" si="200"/>
        <v>17936323.099999998</v>
      </c>
      <c r="G87" s="31">
        <f t="shared" si="200"/>
        <v>26414975.379999999</v>
      </c>
      <c r="H87" s="31">
        <f t="shared" si="200"/>
        <v>24661910.490000002</v>
      </c>
      <c r="I87" s="31">
        <f t="shared" si="200"/>
        <v>27181390.990000002</v>
      </c>
      <c r="J87" s="31">
        <f t="shared" si="200"/>
        <v>20892260.940000001</v>
      </c>
      <c r="K87" s="31">
        <f t="shared" si="200"/>
        <v>15266725.090000002</v>
      </c>
      <c r="L87" s="31">
        <f t="shared" si="200"/>
        <v>15158681.710000001</v>
      </c>
      <c r="M87" s="31">
        <f t="shared" si="200"/>
        <v>15902394.83</v>
      </c>
      <c r="N87" s="31">
        <f t="shared" si="200"/>
        <v>16882590.16</v>
      </c>
      <c r="O87" s="31">
        <f t="shared" si="200"/>
        <v>35872704.219999999</v>
      </c>
      <c r="P87" s="31">
        <f t="shared" si="200"/>
        <v>15833120.27</v>
      </c>
      <c r="Q87" s="31">
        <f t="shared" si="200"/>
        <v>24735252.02</v>
      </c>
      <c r="R87" s="31">
        <f t="shared" si="200"/>
        <v>34281536.57</v>
      </c>
      <c r="S87" s="31">
        <f t="shared" si="200"/>
        <v>38316681.839999996</v>
      </c>
      <c r="T87" s="31">
        <f t="shared" si="200"/>
        <v>59799612.759999998</v>
      </c>
      <c r="U87" s="31">
        <f t="shared" si="200"/>
        <v>68122873.540000007</v>
      </c>
      <c r="V87" s="31">
        <f t="shared" si="200"/>
        <v>16815505.210000001</v>
      </c>
      <c r="W87" s="31">
        <f t="shared" si="200"/>
        <v>16572676.560000001</v>
      </c>
      <c r="X87" s="31">
        <f t="shared" si="200"/>
        <v>20903037.09</v>
      </c>
      <c r="Z87" s="31">
        <f>-X6+Z45+Z46+Z48+Z49+Z50+Z51+Z55</f>
        <v>34449719.660000004</v>
      </c>
      <c r="AA87" s="30"/>
      <c r="AB87" s="30"/>
      <c r="AC87" s="31">
        <v>16480840.42</v>
      </c>
      <c r="AD87" s="31">
        <v>16449899.870000001</v>
      </c>
      <c r="AE87" s="31">
        <v>17284022.899999999</v>
      </c>
      <c r="AF87" s="31">
        <v>17595608.350000001</v>
      </c>
      <c r="AG87" s="31">
        <v>33113911.189999998</v>
      </c>
      <c r="AH87" s="31">
        <v>16804641.43</v>
      </c>
      <c r="AI87" s="31">
        <v>21120197.18</v>
      </c>
      <c r="AJ87" s="31">
        <v>24559878.510000002</v>
      </c>
      <c r="AK87" s="31">
        <v>17076715.799999997</v>
      </c>
      <c r="AL87" s="31">
        <v>1769022.9400000018</v>
      </c>
      <c r="AM87" s="31">
        <f t="shared" ref="AM87:AP87" si="201">-AL6+AM45+AM46+AM48+AM49+AM50+AM51+AM55</f>
        <v>55361620.550000012</v>
      </c>
      <c r="AN87" s="31">
        <f t="shared" si="201"/>
        <v>17264110.640000001</v>
      </c>
      <c r="AO87" s="31">
        <f t="shared" si="201"/>
        <v>19691909.239999998</v>
      </c>
      <c r="AP87" s="31">
        <f t="shared" si="201"/>
        <v>19051531.819999997</v>
      </c>
      <c r="AQ87" s="31">
        <f>-AP6+AQ45+AQ46+AQ48+AQ49+AQ50+AQ51+AQ55</f>
        <v>48138947.149999991</v>
      </c>
      <c r="AR87" s="31">
        <f>-AQ6+AR45+AR46+AR48+AR49+AR50+AR51+AR55</f>
        <v>14021937.120000001</v>
      </c>
      <c r="AS87" s="31">
        <f>-AR6+AS45+AS46+AS48+AS49+AS50+AS51+AS55</f>
        <v>18341277.77</v>
      </c>
      <c r="AT87" s="31">
        <f>-AS6+AT45+AT46+AT48+AT49+AT50+AT51+AT55</f>
        <v>36619984.620000005</v>
      </c>
      <c r="AU87" s="30"/>
      <c r="AV87" s="31" t="e">
        <f>-#REF!+AV45+AV46+AV48+AV49+AV50+AV51+AV55</f>
        <v>#REF!</v>
      </c>
      <c r="AW87" s="31" t="e">
        <f t="shared" ref="AW87:BQ87" si="202">-AV6+AW45+AW46+AW48+AW49+AW50+AW51+AW55</f>
        <v>#REF!</v>
      </c>
      <c r="AX87" s="31" t="e">
        <f t="shared" si="202"/>
        <v>#REF!</v>
      </c>
      <c r="AY87" s="31" t="e">
        <f t="shared" si="202"/>
        <v>#REF!</v>
      </c>
      <c r="AZ87" s="31" t="e">
        <f t="shared" si="202"/>
        <v>#REF!</v>
      </c>
      <c r="BA87" s="31" t="e">
        <f t="shared" si="202"/>
        <v>#REF!</v>
      </c>
      <c r="BB87" s="31" t="e">
        <f t="shared" si="202"/>
        <v>#REF!</v>
      </c>
      <c r="BC87" s="31" t="e">
        <f t="shared" si="202"/>
        <v>#REF!</v>
      </c>
      <c r="BD87" s="31" t="e">
        <f t="shared" si="202"/>
        <v>#REF!</v>
      </c>
      <c r="BE87" s="31" t="e">
        <f t="shared" si="202"/>
        <v>#REF!</v>
      </c>
      <c r="BF87" s="31" t="e">
        <f t="shared" si="202"/>
        <v>#REF!</v>
      </c>
      <c r="BG87" s="31" t="e">
        <f t="shared" si="202"/>
        <v>#REF!</v>
      </c>
      <c r="BH87" s="31" t="e">
        <f t="shared" si="202"/>
        <v>#REF!</v>
      </c>
      <c r="BI87" s="31" t="e">
        <f t="shared" si="202"/>
        <v>#REF!</v>
      </c>
      <c r="BJ87" s="31" t="e">
        <f t="shared" si="202"/>
        <v>#REF!</v>
      </c>
      <c r="BK87" s="31" t="e">
        <f t="shared" si="202"/>
        <v>#REF!</v>
      </c>
      <c r="BL87" s="31" t="e">
        <f t="shared" si="202"/>
        <v>#REF!</v>
      </c>
      <c r="BM87" s="31" t="e">
        <f t="shared" si="202"/>
        <v>#REF!</v>
      </c>
      <c r="BN87" s="31" t="e">
        <f t="shared" si="202"/>
        <v>#REF!</v>
      </c>
      <c r="BO87" s="31" t="e">
        <f t="shared" si="202"/>
        <v>#REF!</v>
      </c>
      <c r="BP87" s="31" t="e">
        <f t="shared" si="202"/>
        <v>#REF!</v>
      </c>
      <c r="BQ87" s="31" t="e">
        <f t="shared" si="202"/>
        <v>#REF!</v>
      </c>
      <c r="BR87" s="30"/>
      <c r="BS87" s="29"/>
      <c r="BT87" s="31" t="e">
        <f>-BQ6+BT45+BT46+BT48+BT49+BT50+BT51+BT55</f>
        <v>#REF!</v>
      </c>
      <c r="BU87" s="31" t="e">
        <f t="shared" ref="BU87:CO87" si="203">-BT6+BU45+BU46+BU48+BU49+BU50+BU51+BU55</f>
        <v>#REF!</v>
      </c>
      <c r="BV87" s="31" t="e">
        <f t="shared" si="203"/>
        <v>#REF!</v>
      </c>
      <c r="BW87" s="31" t="e">
        <f t="shared" si="203"/>
        <v>#REF!</v>
      </c>
      <c r="BX87" s="31" t="e">
        <f t="shared" si="203"/>
        <v>#REF!</v>
      </c>
      <c r="BY87" s="31" t="e">
        <f t="shared" si="203"/>
        <v>#REF!</v>
      </c>
      <c r="BZ87" s="31" t="e">
        <f t="shared" si="203"/>
        <v>#REF!</v>
      </c>
      <c r="CA87" s="31" t="e">
        <f t="shared" si="203"/>
        <v>#REF!</v>
      </c>
      <c r="CB87" s="31" t="e">
        <f t="shared" si="203"/>
        <v>#REF!</v>
      </c>
      <c r="CC87" s="31" t="e">
        <f t="shared" si="203"/>
        <v>#REF!</v>
      </c>
      <c r="CD87" s="31" t="e">
        <f t="shared" si="203"/>
        <v>#REF!</v>
      </c>
      <c r="CE87" s="31" t="e">
        <f t="shared" si="203"/>
        <v>#REF!</v>
      </c>
      <c r="CF87" s="31" t="e">
        <f t="shared" si="203"/>
        <v>#REF!</v>
      </c>
      <c r="CG87" s="31" t="e">
        <f t="shared" si="203"/>
        <v>#REF!</v>
      </c>
      <c r="CH87" s="31" t="e">
        <f t="shared" si="203"/>
        <v>#REF!</v>
      </c>
      <c r="CI87" s="31" t="e">
        <f t="shared" si="203"/>
        <v>#REF!</v>
      </c>
      <c r="CJ87" s="31" t="e">
        <f t="shared" si="203"/>
        <v>#REF!</v>
      </c>
      <c r="CK87" s="31" t="e">
        <f t="shared" si="203"/>
        <v>#REF!</v>
      </c>
      <c r="CL87" s="31" t="e">
        <f t="shared" si="203"/>
        <v>#REF!</v>
      </c>
      <c r="CM87" s="31" t="e">
        <f t="shared" si="203"/>
        <v>#REF!</v>
      </c>
      <c r="CN87" s="31" t="e">
        <f t="shared" si="203"/>
        <v>#REF!</v>
      </c>
      <c r="CO87" s="31" t="e">
        <f t="shared" si="203"/>
        <v>#REF!</v>
      </c>
      <c r="CP87" s="30"/>
      <c r="CQ87" s="29"/>
      <c r="CR87" s="31" t="e">
        <f>-CO6+CR45+CR46+CR48+CR49+CR50+CR51+CR55</f>
        <v>#REF!</v>
      </c>
      <c r="CS87" s="31" t="e">
        <f t="shared" ref="CS87:DL87" si="204">-CR6+CS45+CS46+CS48+CS49+CS50+CS51+CS55</f>
        <v>#REF!</v>
      </c>
      <c r="CT87" s="31" t="e">
        <f t="shared" si="204"/>
        <v>#REF!</v>
      </c>
      <c r="CU87" s="31" t="e">
        <f t="shared" si="204"/>
        <v>#REF!</v>
      </c>
      <c r="CV87" s="31" t="e">
        <f t="shared" si="204"/>
        <v>#REF!</v>
      </c>
      <c r="CW87" s="31" t="e">
        <f t="shared" si="204"/>
        <v>#REF!</v>
      </c>
      <c r="CX87" s="31" t="e">
        <f t="shared" si="204"/>
        <v>#REF!</v>
      </c>
      <c r="CY87" s="31" t="e">
        <f t="shared" si="204"/>
        <v>#REF!</v>
      </c>
      <c r="CZ87" s="31" t="e">
        <f t="shared" si="204"/>
        <v>#REF!</v>
      </c>
      <c r="DA87" s="31" t="e">
        <f t="shared" si="204"/>
        <v>#REF!</v>
      </c>
      <c r="DB87" s="31" t="e">
        <f t="shared" si="204"/>
        <v>#REF!</v>
      </c>
      <c r="DC87" s="31" t="e">
        <f t="shared" si="204"/>
        <v>#REF!</v>
      </c>
      <c r="DD87" s="31" t="e">
        <f t="shared" si="204"/>
        <v>#REF!</v>
      </c>
      <c r="DE87" s="31" t="e">
        <f t="shared" si="204"/>
        <v>#REF!</v>
      </c>
      <c r="DF87" s="31" t="e">
        <f t="shared" si="204"/>
        <v>#REF!</v>
      </c>
      <c r="DG87" s="31" t="e">
        <f t="shared" si="204"/>
        <v>#REF!</v>
      </c>
      <c r="DH87" s="31" t="e">
        <f t="shared" si="204"/>
        <v>#REF!</v>
      </c>
      <c r="DI87" s="31" t="e">
        <f t="shared" si="204"/>
        <v>#REF!</v>
      </c>
      <c r="DJ87" s="31" t="e">
        <f t="shared" si="204"/>
        <v>#REF!</v>
      </c>
      <c r="DK87" s="31" t="e">
        <f t="shared" si="204"/>
        <v>#REF!</v>
      </c>
      <c r="DL87" s="31" t="e">
        <f t="shared" si="204"/>
        <v>#REF!</v>
      </c>
      <c r="DM87" s="30"/>
      <c r="DN87" s="29"/>
      <c r="DO87" s="31" t="e">
        <f>-DL6+DO45+DO46+DO48+DO49+DO50+DO51+DO55</f>
        <v>#REF!</v>
      </c>
      <c r="DP87" s="31" t="e">
        <f t="shared" ref="DP87:EJ87" si="205">-DO6+DP45+DP46+DP48+DP49+DP50+DP51+DP55</f>
        <v>#REF!</v>
      </c>
      <c r="DQ87" s="31" t="e">
        <f t="shared" si="205"/>
        <v>#REF!</v>
      </c>
      <c r="DR87" s="31" t="e">
        <f t="shared" si="205"/>
        <v>#REF!</v>
      </c>
      <c r="DS87" s="31" t="e">
        <f t="shared" si="205"/>
        <v>#REF!</v>
      </c>
      <c r="DT87" s="31" t="e">
        <f t="shared" si="205"/>
        <v>#REF!</v>
      </c>
      <c r="DU87" s="31" t="e">
        <f t="shared" si="205"/>
        <v>#REF!</v>
      </c>
      <c r="DV87" s="31" t="e">
        <f t="shared" si="205"/>
        <v>#REF!</v>
      </c>
      <c r="DW87" s="31" t="e">
        <f t="shared" si="205"/>
        <v>#REF!</v>
      </c>
      <c r="DX87" s="31" t="e">
        <f t="shared" si="205"/>
        <v>#REF!</v>
      </c>
      <c r="DY87" s="31" t="e">
        <f t="shared" si="205"/>
        <v>#REF!</v>
      </c>
      <c r="DZ87" s="31" t="e">
        <f t="shared" si="205"/>
        <v>#REF!</v>
      </c>
      <c r="EA87" s="31" t="e">
        <f t="shared" si="205"/>
        <v>#REF!</v>
      </c>
      <c r="EB87" s="31" t="e">
        <f t="shared" si="205"/>
        <v>#REF!</v>
      </c>
      <c r="EC87" s="31" t="e">
        <f t="shared" si="205"/>
        <v>#REF!</v>
      </c>
      <c r="ED87" s="31" t="e">
        <f t="shared" si="205"/>
        <v>#REF!</v>
      </c>
      <c r="EE87" s="31" t="e">
        <f t="shared" si="205"/>
        <v>#REF!</v>
      </c>
      <c r="EF87" s="31" t="e">
        <f t="shared" si="205"/>
        <v>#REF!</v>
      </c>
      <c r="EG87" s="31" t="e">
        <f t="shared" si="205"/>
        <v>#REF!</v>
      </c>
      <c r="EH87" s="31" t="e">
        <f t="shared" si="205"/>
        <v>#REF!</v>
      </c>
      <c r="EI87" s="31" t="e">
        <f t="shared" si="205"/>
        <v>#REF!</v>
      </c>
      <c r="EJ87" s="31" t="e">
        <f t="shared" si="205"/>
        <v>#REF!</v>
      </c>
      <c r="EK87" s="30"/>
      <c r="EL87" s="29"/>
      <c r="EN87" s="21"/>
    </row>
    <row r="88" spans="1:144" s="13" customFormat="1" ht="20.05" customHeight="1">
      <c r="A88" s="24"/>
      <c r="B88" s="11"/>
      <c r="C88" s="28"/>
      <c r="D88" s="25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6"/>
      <c r="Z88" s="26"/>
      <c r="AA88" s="25"/>
      <c r="AB88" s="25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5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5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5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5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5"/>
      <c r="EN88" s="21"/>
    </row>
    <row r="89" spans="1:144" s="13" customFormat="1" ht="20.05" customHeight="1">
      <c r="A89" s="24"/>
      <c r="B89" s="11"/>
      <c r="E89" s="23">
        <f t="shared" ref="E89:X89" si="206">IF(E86&gt;E87,1,E86/E87)</f>
        <v>0.96025696194565502</v>
      </c>
      <c r="F89" s="23">
        <f t="shared" si="206"/>
        <v>1</v>
      </c>
      <c r="G89" s="23">
        <f t="shared" si="206"/>
        <v>0.70149687934326899</v>
      </c>
      <c r="H89" s="23">
        <f t="shared" si="206"/>
        <v>1</v>
      </c>
      <c r="I89" s="23">
        <f t="shared" si="206"/>
        <v>1</v>
      </c>
      <c r="J89" s="23">
        <f t="shared" si="206"/>
        <v>1</v>
      </c>
      <c r="K89" s="23">
        <f t="shared" si="206"/>
        <v>1</v>
      </c>
      <c r="L89" s="23">
        <f t="shared" si="206"/>
        <v>1</v>
      </c>
      <c r="M89" s="23">
        <f t="shared" si="206"/>
        <v>1</v>
      </c>
      <c r="N89" s="23">
        <f t="shared" si="206"/>
        <v>1</v>
      </c>
      <c r="O89" s="23">
        <f t="shared" si="206"/>
        <v>1</v>
      </c>
      <c r="P89" s="23">
        <f t="shared" si="206"/>
        <v>0.67105383940845065</v>
      </c>
      <c r="Q89" s="23">
        <f t="shared" si="206"/>
        <v>0.50997705650218261</v>
      </c>
      <c r="R89" s="23">
        <f t="shared" si="206"/>
        <v>0.50456751294328761</v>
      </c>
      <c r="S89" s="23">
        <f t="shared" si="206"/>
        <v>0.41870088448659004</v>
      </c>
      <c r="T89" s="23">
        <f t="shared" si="206"/>
        <v>0.18177727489015363</v>
      </c>
      <c r="U89" s="23">
        <f t="shared" si="206"/>
        <v>1</v>
      </c>
      <c r="V89" s="23">
        <f t="shared" si="206"/>
        <v>1</v>
      </c>
      <c r="W89" s="23">
        <f t="shared" si="206"/>
        <v>1</v>
      </c>
      <c r="X89" s="22">
        <f t="shared" si="206"/>
        <v>1</v>
      </c>
      <c r="Z89" s="22">
        <f>IF(Z86&gt;Z87,1,Z86/Z87)</f>
        <v>1</v>
      </c>
      <c r="AC89" s="22">
        <v>1</v>
      </c>
      <c r="AD89" s="22">
        <v>1</v>
      </c>
      <c r="AE89" s="22">
        <v>1</v>
      </c>
      <c r="AF89" s="22">
        <v>1</v>
      </c>
      <c r="AG89" s="22">
        <v>1</v>
      </c>
      <c r="AH89" s="22">
        <v>1</v>
      </c>
      <c r="AI89" s="22">
        <v>1</v>
      </c>
      <c r="AJ89" s="22">
        <v>1</v>
      </c>
      <c r="AK89" s="22">
        <v>1</v>
      </c>
      <c r="AL89" s="22">
        <v>1</v>
      </c>
      <c r="AM89" s="22">
        <f t="shared" ref="AM89:AT89" si="207">IF(AM86&gt;AM87,1,AM86/AM87)</f>
        <v>1</v>
      </c>
      <c r="AN89" s="22">
        <f t="shared" si="207"/>
        <v>1</v>
      </c>
      <c r="AO89" s="22">
        <f t="shared" si="207"/>
        <v>1</v>
      </c>
      <c r="AP89" s="22">
        <f t="shared" si="207"/>
        <v>1</v>
      </c>
      <c r="AQ89" s="22">
        <f t="shared" si="207"/>
        <v>1</v>
      </c>
      <c r="AR89" s="22">
        <f t="shared" si="207"/>
        <v>1</v>
      </c>
      <c r="AS89" s="22">
        <f t="shared" si="207"/>
        <v>1</v>
      </c>
      <c r="AT89" s="22">
        <f t="shared" si="207"/>
        <v>1</v>
      </c>
      <c r="AV89" s="22" t="e">
        <f t="shared" ref="AV89:BQ89" si="208">IF(AV86&gt;AV87,1,AV86/AV87)</f>
        <v>#REF!</v>
      </c>
      <c r="AW89" s="22" t="e">
        <f t="shared" si="208"/>
        <v>#REF!</v>
      </c>
      <c r="AX89" s="22" t="e">
        <f t="shared" si="208"/>
        <v>#REF!</v>
      </c>
      <c r="AY89" s="22" t="e">
        <f t="shared" si="208"/>
        <v>#REF!</v>
      </c>
      <c r="AZ89" s="22" t="e">
        <f t="shared" si="208"/>
        <v>#REF!</v>
      </c>
      <c r="BA89" s="22" t="e">
        <f t="shared" si="208"/>
        <v>#REF!</v>
      </c>
      <c r="BB89" s="22" t="e">
        <f t="shared" si="208"/>
        <v>#REF!</v>
      </c>
      <c r="BC89" s="22" t="e">
        <f t="shared" si="208"/>
        <v>#REF!</v>
      </c>
      <c r="BD89" s="22" t="e">
        <f t="shared" si="208"/>
        <v>#REF!</v>
      </c>
      <c r="BE89" s="22" t="e">
        <f t="shared" si="208"/>
        <v>#REF!</v>
      </c>
      <c r="BF89" s="22" t="e">
        <f t="shared" si="208"/>
        <v>#REF!</v>
      </c>
      <c r="BG89" s="22" t="e">
        <f t="shared" si="208"/>
        <v>#REF!</v>
      </c>
      <c r="BH89" s="22" t="e">
        <f t="shared" si="208"/>
        <v>#REF!</v>
      </c>
      <c r="BI89" s="22" t="e">
        <f t="shared" si="208"/>
        <v>#REF!</v>
      </c>
      <c r="BJ89" s="22" t="e">
        <f t="shared" si="208"/>
        <v>#REF!</v>
      </c>
      <c r="BK89" s="22" t="e">
        <f t="shared" si="208"/>
        <v>#REF!</v>
      </c>
      <c r="BL89" s="22" t="e">
        <f t="shared" si="208"/>
        <v>#REF!</v>
      </c>
      <c r="BM89" s="22" t="e">
        <f t="shared" si="208"/>
        <v>#REF!</v>
      </c>
      <c r="BN89" s="22" t="e">
        <f t="shared" si="208"/>
        <v>#REF!</v>
      </c>
      <c r="BO89" s="22" t="e">
        <f t="shared" si="208"/>
        <v>#REF!</v>
      </c>
      <c r="BP89" s="22" t="e">
        <f t="shared" si="208"/>
        <v>#REF!</v>
      </c>
      <c r="BQ89" s="22" t="e">
        <f t="shared" si="208"/>
        <v>#REF!</v>
      </c>
      <c r="BT89" s="22" t="e">
        <f t="shared" ref="BT89:CO89" si="209">IF(BT86&gt;BT87,1,BT86/BT87)</f>
        <v>#REF!</v>
      </c>
      <c r="BU89" s="22" t="e">
        <f t="shared" si="209"/>
        <v>#REF!</v>
      </c>
      <c r="BV89" s="22" t="e">
        <f t="shared" si="209"/>
        <v>#REF!</v>
      </c>
      <c r="BW89" s="22" t="e">
        <f t="shared" si="209"/>
        <v>#REF!</v>
      </c>
      <c r="BX89" s="22" t="e">
        <f t="shared" si="209"/>
        <v>#REF!</v>
      </c>
      <c r="BY89" s="22" t="e">
        <f t="shared" si="209"/>
        <v>#REF!</v>
      </c>
      <c r="BZ89" s="22" t="e">
        <f t="shared" si="209"/>
        <v>#REF!</v>
      </c>
      <c r="CA89" s="22" t="e">
        <f t="shared" si="209"/>
        <v>#REF!</v>
      </c>
      <c r="CB89" s="22" t="e">
        <f t="shared" si="209"/>
        <v>#REF!</v>
      </c>
      <c r="CC89" s="22" t="e">
        <f t="shared" si="209"/>
        <v>#REF!</v>
      </c>
      <c r="CD89" s="22" t="e">
        <f t="shared" si="209"/>
        <v>#REF!</v>
      </c>
      <c r="CE89" s="22" t="e">
        <f t="shared" si="209"/>
        <v>#REF!</v>
      </c>
      <c r="CF89" s="22" t="e">
        <f t="shared" si="209"/>
        <v>#REF!</v>
      </c>
      <c r="CG89" s="22" t="e">
        <f t="shared" si="209"/>
        <v>#REF!</v>
      </c>
      <c r="CH89" s="22" t="e">
        <f t="shared" si="209"/>
        <v>#REF!</v>
      </c>
      <c r="CI89" s="22" t="e">
        <f t="shared" si="209"/>
        <v>#REF!</v>
      </c>
      <c r="CJ89" s="22" t="e">
        <f t="shared" si="209"/>
        <v>#REF!</v>
      </c>
      <c r="CK89" s="22" t="e">
        <f t="shared" si="209"/>
        <v>#REF!</v>
      </c>
      <c r="CL89" s="22" t="e">
        <f t="shared" si="209"/>
        <v>#REF!</v>
      </c>
      <c r="CM89" s="22" t="e">
        <f t="shared" si="209"/>
        <v>#REF!</v>
      </c>
      <c r="CN89" s="22" t="e">
        <f t="shared" si="209"/>
        <v>#REF!</v>
      </c>
      <c r="CO89" s="22" t="e">
        <f t="shared" si="209"/>
        <v>#REF!</v>
      </c>
      <c r="CR89" s="22" t="e">
        <f t="shared" ref="CR89:DL89" si="210">IF(CR86&gt;CR87,1,CR86/CR87)</f>
        <v>#REF!</v>
      </c>
      <c r="CS89" s="22" t="e">
        <f t="shared" si="210"/>
        <v>#REF!</v>
      </c>
      <c r="CT89" s="22" t="e">
        <f t="shared" si="210"/>
        <v>#REF!</v>
      </c>
      <c r="CU89" s="22" t="e">
        <f t="shared" si="210"/>
        <v>#REF!</v>
      </c>
      <c r="CV89" s="22" t="e">
        <f t="shared" si="210"/>
        <v>#REF!</v>
      </c>
      <c r="CW89" s="22" t="e">
        <f t="shared" si="210"/>
        <v>#REF!</v>
      </c>
      <c r="CX89" s="22" t="e">
        <f t="shared" si="210"/>
        <v>#REF!</v>
      </c>
      <c r="CY89" s="22" t="e">
        <f t="shared" si="210"/>
        <v>#REF!</v>
      </c>
      <c r="CZ89" s="22" t="e">
        <f t="shared" si="210"/>
        <v>#REF!</v>
      </c>
      <c r="DA89" s="22" t="e">
        <f t="shared" si="210"/>
        <v>#REF!</v>
      </c>
      <c r="DB89" s="22" t="e">
        <f t="shared" si="210"/>
        <v>#REF!</v>
      </c>
      <c r="DC89" s="22" t="e">
        <f t="shared" si="210"/>
        <v>#REF!</v>
      </c>
      <c r="DD89" s="22" t="e">
        <f t="shared" si="210"/>
        <v>#REF!</v>
      </c>
      <c r="DE89" s="22" t="e">
        <f t="shared" si="210"/>
        <v>#REF!</v>
      </c>
      <c r="DF89" s="22" t="e">
        <f t="shared" si="210"/>
        <v>#REF!</v>
      </c>
      <c r="DG89" s="22" t="e">
        <f t="shared" si="210"/>
        <v>#REF!</v>
      </c>
      <c r="DH89" s="22" t="e">
        <f t="shared" si="210"/>
        <v>#REF!</v>
      </c>
      <c r="DI89" s="22" t="e">
        <f t="shared" si="210"/>
        <v>#REF!</v>
      </c>
      <c r="DJ89" s="22" t="e">
        <f t="shared" si="210"/>
        <v>#REF!</v>
      </c>
      <c r="DK89" s="22" t="e">
        <f t="shared" si="210"/>
        <v>#REF!</v>
      </c>
      <c r="DL89" s="22" t="e">
        <f t="shared" si="210"/>
        <v>#REF!</v>
      </c>
      <c r="DO89" s="22" t="e">
        <f t="shared" ref="DO89:EJ89" si="211">IF(DO86&gt;DO87,1,DO86/DO87)</f>
        <v>#REF!</v>
      </c>
      <c r="DP89" s="22" t="e">
        <f t="shared" si="211"/>
        <v>#REF!</v>
      </c>
      <c r="DQ89" s="22" t="e">
        <f t="shared" si="211"/>
        <v>#REF!</v>
      </c>
      <c r="DR89" s="22" t="e">
        <f t="shared" si="211"/>
        <v>#REF!</v>
      </c>
      <c r="DS89" s="22" t="e">
        <f t="shared" si="211"/>
        <v>#REF!</v>
      </c>
      <c r="DT89" s="22" t="e">
        <f t="shared" si="211"/>
        <v>#REF!</v>
      </c>
      <c r="DU89" s="22" t="e">
        <f t="shared" si="211"/>
        <v>#REF!</v>
      </c>
      <c r="DV89" s="22" t="e">
        <f t="shared" si="211"/>
        <v>#REF!</v>
      </c>
      <c r="DW89" s="22" t="e">
        <f t="shared" si="211"/>
        <v>#REF!</v>
      </c>
      <c r="DX89" s="22" t="e">
        <f t="shared" si="211"/>
        <v>#REF!</v>
      </c>
      <c r="DY89" s="22" t="e">
        <f t="shared" si="211"/>
        <v>#REF!</v>
      </c>
      <c r="DZ89" s="22" t="e">
        <f t="shared" si="211"/>
        <v>#REF!</v>
      </c>
      <c r="EA89" s="22" t="e">
        <f t="shared" si="211"/>
        <v>#REF!</v>
      </c>
      <c r="EB89" s="22" t="e">
        <f t="shared" si="211"/>
        <v>#REF!</v>
      </c>
      <c r="EC89" s="22" t="e">
        <f t="shared" si="211"/>
        <v>#REF!</v>
      </c>
      <c r="ED89" s="22" t="e">
        <f t="shared" si="211"/>
        <v>#REF!</v>
      </c>
      <c r="EE89" s="22" t="e">
        <f t="shared" si="211"/>
        <v>#REF!</v>
      </c>
      <c r="EF89" s="22" t="e">
        <f t="shared" si="211"/>
        <v>#REF!</v>
      </c>
      <c r="EG89" s="22" t="e">
        <f t="shared" si="211"/>
        <v>#REF!</v>
      </c>
      <c r="EH89" s="22" t="e">
        <f t="shared" si="211"/>
        <v>#REF!</v>
      </c>
      <c r="EI89" s="22" t="e">
        <f t="shared" si="211"/>
        <v>#REF!</v>
      </c>
      <c r="EJ89" s="22" t="e">
        <f t="shared" si="211"/>
        <v>#REF!</v>
      </c>
      <c r="EN89" s="21"/>
    </row>
    <row r="90" spans="1:144" s="16" customFormat="1" ht="20.05" customHeight="1">
      <c r="A90" s="20"/>
      <c r="B90" s="11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8"/>
      <c r="Z90" s="18"/>
      <c r="AU90" s="19"/>
      <c r="BQ90" s="18"/>
      <c r="CO90" s="18"/>
      <c r="DL90" s="18"/>
      <c r="EN90" s="17"/>
    </row>
    <row r="91" spans="1:144" ht="20.05" customHeight="1">
      <c r="B91" s="11"/>
      <c r="E91" s="2"/>
      <c r="BS91" s="13"/>
      <c r="CQ91" s="13"/>
      <c r="DN91" s="13"/>
      <c r="EL91" s="13"/>
    </row>
    <row r="92" spans="1:144" ht="20.05" customHeight="1">
      <c r="B92" s="11"/>
      <c r="E92" s="2"/>
      <c r="BS92" s="13"/>
      <c r="CQ92" s="13"/>
      <c r="DN92" s="13"/>
      <c r="EL92" s="13"/>
    </row>
    <row r="93" spans="1:144" ht="20.05" customHeight="1">
      <c r="B93" s="11"/>
      <c r="E93" s="15"/>
      <c r="BS93" s="13"/>
      <c r="CQ93" s="13"/>
      <c r="DN93" s="13"/>
      <c r="EL93" s="13"/>
    </row>
    <row r="94" spans="1:144" ht="20.05" customHeight="1">
      <c r="B94" s="11"/>
      <c r="E94" s="14"/>
      <c r="BS94" s="13"/>
      <c r="CQ94" s="13"/>
      <c r="DN94" s="13"/>
      <c r="EL94" s="13"/>
    </row>
    <row r="95" spans="1:144" ht="20.05" customHeight="1">
      <c r="B95" s="11"/>
      <c r="E95" s="14"/>
      <c r="BS95" s="13"/>
      <c r="CQ95" s="13"/>
      <c r="DN95" s="13"/>
      <c r="EL95" s="13"/>
    </row>
    <row r="96" spans="1:144" ht="20.05" customHeight="1">
      <c r="B96" s="11"/>
      <c r="BS96" s="13"/>
      <c r="CQ96" s="13"/>
      <c r="DN96" s="13"/>
      <c r="EL96" s="13"/>
    </row>
    <row r="97" spans="2:142" s="1" customFormat="1" ht="20.05" customHeight="1">
      <c r="B97" s="11"/>
      <c r="C97" s="7"/>
      <c r="D97" s="4"/>
      <c r="J97" s="6"/>
      <c r="Y97" s="5"/>
      <c r="AA97" s="4"/>
      <c r="AB97" s="3"/>
      <c r="BR97" s="3"/>
      <c r="BS97" s="13"/>
      <c r="CP97" s="3"/>
      <c r="CQ97" s="13"/>
      <c r="DM97" s="3"/>
      <c r="DN97" s="13"/>
      <c r="EK97" s="3"/>
      <c r="EL97" s="13"/>
    </row>
    <row r="98" spans="2:142" s="1" customFormat="1" ht="20.05" customHeight="1">
      <c r="B98" s="11"/>
      <c r="C98" s="7"/>
      <c r="D98" s="4"/>
      <c r="J98" s="6"/>
      <c r="Y98" s="5"/>
      <c r="AA98" s="4"/>
      <c r="AB98" s="3"/>
      <c r="BR98" s="3"/>
      <c r="BS98" s="13"/>
      <c r="CP98" s="3"/>
      <c r="CQ98" s="13"/>
      <c r="DM98" s="3"/>
      <c r="DN98" s="13"/>
      <c r="EK98" s="3"/>
      <c r="EL98" s="13"/>
    </row>
    <row r="99" spans="2:142" s="1" customFormat="1" ht="20.05" customHeight="1">
      <c r="B99" s="11"/>
      <c r="C99" s="7"/>
      <c r="D99" s="4"/>
      <c r="J99" s="6"/>
      <c r="Y99" s="5"/>
      <c r="AA99" s="4"/>
      <c r="AB99" s="3"/>
      <c r="BR99" s="3"/>
      <c r="BS99" s="13"/>
      <c r="CP99" s="3"/>
      <c r="CQ99" s="13"/>
      <c r="DM99" s="3"/>
      <c r="DN99" s="13"/>
      <c r="EK99" s="3"/>
      <c r="EL99" s="13"/>
    </row>
    <row r="100" spans="2:142" s="1" customFormat="1" ht="20.05" customHeight="1">
      <c r="B100" s="11"/>
      <c r="C100" s="7"/>
      <c r="D100" s="4"/>
      <c r="J100" s="6"/>
      <c r="Y100" s="5"/>
      <c r="AA100" s="4"/>
      <c r="AB100" s="3"/>
      <c r="BR100" s="3"/>
      <c r="BS100" s="13"/>
      <c r="CP100" s="3"/>
      <c r="CQ100" s="13"/>
      <c r="DM100" s="3"/>
      <c r="DN100" s="13"/>
      <c r="EK100" s="3"/>
      <c r="EL100" s="13"/>
    </row>
    <row r="101" spans="2:142" s="1" customFormat="1" ht="20.05" customHeight="1">
      <c r="B101" s="11"/>
      <c r="C101" s="7"/>
      <c r="D101" s="4"/>
      <c r="J101" s="6"/>
      <c r="Y101" s="5"/>
      <c r="AA101" s="4"/>
      <c r="AB101" s="3"/>
      <c r="BR101" s="3"/>
      <c r="BS101" s="12"/>
      <c r="CP101" s="3"/>
      <c r="CQ101" s="12"/>
      <c r="DM101" s="3"/>
      <c r="DN101" s="12"/>
      <c r="EK101" s="3"/>
      <c r="EL101" s="12"/>
    </row>
    <row r="102" spans="2:142" s="1" customFormat="1" ht="20.05" customHeight="1">
      <c r="B102" s="11"/>
      <c r="C102" s="7"/>
      <c r="D102" s="4"/>
      <c r="J102" s="6"/>
      <c r="Y102" s="5"/>
      <c r="AA102" s="4"/>
      <c r="AB102" s="3"/>
      <c r="BR102" s="3"/>
      <c r="CP102" s="3"/>
      <c r="DM102" s="3"/>
      <c r="EK102" s="3"/>
    </row>
    <row r="103" spans="2:142" s="1" customFormat="1" ht="20.05" customHeight="1">
      <c r="B103" s="11"/>
      <c r="C103" s="7"/>
      <c r="D103" s="4"/>
      <c r="J103" s="6"/>
      <c r="Y103" s="5"/>
      <c r="AA103" s="4"/>
      <c r="AB103" s="3"/>
      <c r="BR103" s="3"/>
      <c r="CP103" s="3"/>
      <c r="DM103" s="3"/>
      <c r="EK103" s="3"/>
    </row>
    <row r="104" spans="2:142" s="1" customFormat="1" ht="20.05" customHeight="1">
      <c r="B104" s="11"/>
      <c r="C104" s="7"/>
      <c r="D104" s="4"/>
      <c r="J104" s="6"/>
      <c r="Y104" s="5"/>
      <c r="AA104" s="4"/>
      <c r="AB104" s="3"/>
      <c r="BR104" s="3"/>
      <c r="CP104" s="3"/>
      <c r="DM104" s="3"/>
      <c r="EK104" s="3"/>
    </row>
    <row r="105" spans="2:142" s="1" customFormat="1" ht="20.05" customHeight="1">
      <c r="B105" s="11"/>
      <c r="C105" s="7"/>
      <c r="D105" s="4"/>
      <c r="J105" s="6"/>
      <c r="Y105" s="5"/>
      <c r="AA105" s="4"/>
      <c r="AB105" s="3"/>
      <c r="BR105" s="3"/>
      <c r="CP105" s="3"/>
      <c r="DM105" s="3"/>
      <c r="EK105" s="3"/>
    </row>
    <row r="106" spans="2:142" s="1" customFormat="1" ht="20.05" customHeight="1">
      <c r="B106" s="11"/>
      <c r="C106" s="7"/>
      <c r="D106" s="4"/>
      <c r="J106" s="6"/>
      <c r="Y106" s="5"/>
      <c r="AA106" s="4"/>
      <c r="AB106" s="3"/>
      <c r="BR106" s="3"/>
      <c r="CP106" s="3"/>
      <c r="DM106" s="3"/>
      <c r="EK106" s="3"/>
    </row>
    <row r="107" spans="2:142" s="1" customFormat="1" ht="20.05" customHeight="1">
      <c r="B107" s="11"/>
      <c r="C107" s="7"/>
      <c r="D107" s="4"/>
      <c r="J107" s="6"/>
      <c r="Y107" s="5"/>
      <c r="AA107" s="4"/>
      <c r="AB107" s="3"/>
      <c r="BR107" s="3"/>
      <c r="CP107" s="3"/>
      <c r="DM107" s="3"/>
      <c r="EK107" s="3"/>
    </row>
    <row r="108" spans="2:142" s="1" customFormat="1" ht="20.05" customHeight="1">
      <c r="B108" s="11"/>
      <c r="C108" s="7"/>
      <c r="D108" s="4"/>
      <c r="J108" s="6"/>
      <c r="Y108" s="5"/>
      <c r="AA108" s="4"/>
      <c r="AB108" s="3"/>
      <c r="BR108" s="3"/>
      <c r="CP108" s="3"/>
      <c r="DM108" s="3"/>
      <c r="EK108" s="3"/>
    </row>
    <row r="109" spans="2:142" s="1" customFormat="1" ht="20.05" customHeight="1">
      <c r="B109" s="11"/>
      <c r="C109" s="7"/>
      <c r="D109" s="4"/>
      <c r="J109" s="6"/>
      <c r="Y109" s="5"/>
      <c r="AA109" s="4"/>
      <c r="AB109" s="3"/>
      <c r="BR109" s="3"/>
      <c r="CP109" s="3"/>
      <c r="DM109" s="3"/>
      <c r="EK109" s="3"/>
    </row>
    <row r="110" spans="2:142" s="1" customFormat="1" ht="20.05" customHeight="1">
      <c r="B110" s="11"/>
      <c r="C110" s="7"/>
      <c r="D110" s="4"/>
      <c r="J110" s="6"/>
      <c r="Y110" s="5"/>
      <c r="AA110" s="4"/>
      <c r="AB110" s="3"/>
      <c r="BR110" s="3"/>
      <c r="CP110" s="3"/>
      <c r="DM110" s="3"/>
      <c r="EK110" s="3"/>
    </row>
    <row r="111" spans="2:142" s="1" customFormat="1" ht="20.05" customHeight="1">
      <c r="B111" s="11"/>
      <c r="C111" s="7"/>
      <c r="D111" s="4"/>
      <c r="J111" s="6"/>
      <c r="Y111" s="5"/>
      <c r="AA111" s="4"/>
      <c r="AB111" s="3"/>
      <c r="BR111" s="3"/>
      <c r="CP111" s="3"/>
      <c r="DM111" s="3"/>
      <c r="EK111" s="3"/>
    </row>
    <row r="112" spans="2:142" s="1" customFormat="1" ht="20.05" customHeight="1">
      <c r="B112" s="11"/>
      <c r="C112" s="7"/>
      <c r="D112" s="4"/>
      <c r="J112" s="6"/>
      <c r="Y112" s="5"/>
      <c r="AA112" s="4"/>
      <c r="AB112" s="3"/>
      <c r="BR112" s="3"/>
      <c r="CP112" s="3"/>
      <c r="DM112" s="3"/>
      <c r="EK112" s="3"/>
    </row>
    <row r="113" spans="2:2" s="1" customFormat="1" ht="20.05" customHeight="1">
      <c r="B113" s="11"/>
    </row>
    <row r="114" spans="2:2" s="1" customFormat="1" ht="20.05" customHeight="1">
      <c r="B114" s="11"/>
    </row>
    <row r="115" spans="2:2" s="1" customFormat="1" ht="20.05" customHeight="1">
      <c r="B115" s="11"/>
    </row>
    <row r="116" spans="2:2" s="1" customFormat="1" ht="20.05" customHeight="1">
      <c r="B116" s="11"/>
    </row>
    <row r="117" spans="2:2" s="1" customFormat="1" ht="20.05" customHeight="1">
      <c r="B117" s="11"/>
    </row>
    <row r="118" spans="2:2" s="1" customFormat="1" ht="20.05" customHeight="1">
      <c r="B118" s="11"/>
    </row>
    <row r="119" spans="2:2" s="1" customFormat="1" ht="20.05" customHeight="1">
      <c r="B119" s="11"/>
    </row>
    <row r="120" spans="2:2" s="1" customFormat="1" ht="20.05" customHeight="1">
      <c r="B120" s="11"/>
    </row>
    <row r="121" spans="2:2" s="1" customFormat="1" ht="20.05" customHeight="1">
      <c r="B121" s="11"/>
    </row>
    <row r="122" spans="2:2" s="1" customFormat="1" ht="20.05" customHeight="1">
      <c r="B122" s="10"/>
    </row>
  </sheetData>
  <autoFilter ref="A1:A121">
    <filterColumn colId="0"/>
  </autoFilter>
  <pageMargins left="0" right="0" top="0" bottom="0.35433070866141736" header="0" footer="0.19685039370078741"/>
  <pageSetup paperSize="8" scale="47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Sistema</vt:lpstr>
      <vt:lpstr>Sistema!Area_de_impressao</vt:lpstr>
      <vt:lpstr>SIS</vt:lpstr>
      <vt:lpstr>Sistema!Titulos_de_impressao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dcterms:created xsi:type="dcterms:W3CDTF">2015-02-12T17:51:02Z</dcterms:created>
  <dcterms:modified xsi:type="dcterms:W3CDTF">2015-03-04T17:03:43Z</dcterms:modified>
</cp:coreProperties>
</file>