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Gestão" sheetId="1" r:id="rId1"/>
  </sheets>
  <externalReferences>
    <externalReference r:id="rId2"/>
  </externalReferences>
  <definedNames>
    <definedName name="_xlnm._FilterDatabase" localSheetId="0" hidden="1">Gestão!$A$1:$A$111</definedName>
    <definedName name="acuges" localSheetId="0">Gestão!#REF!</definedName>
    <definedName name="acuges">#REF!</definedName>
    <definedName name="acusis">#REF!</definedName>
    <definedName name="_xlnm.Print_Area" localSheetId="0">Gestão!$C$1:$AB$75</definedName>
    <definedName name="DDDDDDDDDD">#REF!</definedName>
    <definedName name="impgesset">#REF!</definedName>
    <definedName name="impsisset">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Gestão!$C:$D,Gestão!$1:$3</definedName>
  </definedNames>
  <calcPr calcId="125725" fullCalcOnLoad="1"/>
</workbook>
</file>

<file path=xl/calcChain.xml><?xml version="1.0" encoding="utf-8"?>
<calcChain xmlns="http://schemas.openxmlformats.org/spreadsheetml/2006/main">
  <c r="C75" i="1"/>
  <c r="D74"/>
  <c r="D73"/>
  <c r="AB72"/>
  <c r="D72"/>
  <c r="AB71"/>
  <c r="AB69"/>
  <c r="AA71"/>
  <c r="Z71"/>
  <c r="Z69"/>
  <c r="Y71"/>
  <c r="Y69"/>
  <c r="X71"/>
  <c r="X69"/>
  <c r="W71"/>
  <c r="V71"/>
  <c r="V69"/>
  <c r="U71"/>
  <c r="U69"/>
  <c r="T71"/>
  <c r="T69"/>
  <c r="S71"/>
  <c r="R71"/>
  <c r="R69"/>
  <c r="Q71"/>
  <c r="Q69"/>
  <c r="P71"/>
  <c r="P69"/>
  <c r="O71"/>
  <c r="N71"/>
  <c r="N69"/>
  <c r="M71"/>
  <c r="M69"/>
  <c r="L71"/>
  <c r="L69"/>
  <c r="K71"/>
  <c r="J71"/>
  <c r="J69"/>
  <c r="I71"/>
  <c r="I69"/>
  <c r="H71"/>
  <c r="H69"/>
  <c r="G71"/>
  <c r="F71"/>
  <c r="F69"/>
  <c r="AA69"/>
  <c r="W69"/>
  <c r="S69"/>
  <c r="O69"/>
  <c r="K69"/>
  <c r="G69"/>
  <c r="D67"/>
  <c r="L66"/>
  <c r="K66"/>
  <c r="I66"/>
  <c r="I65"/>
  <c r="H66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H65"/>
  <c r="G65"/>
  <c r="F65"/>
  <c r="F62"/>
  <c r="D62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0"/>
  <c r="D60"/>
  <c r="E59"/>
  <c r="D59"/>
  <c r="D56"/>
  <c r="D55"/>
  <c r="AA54"/>
  <c r="Y54"/>
  <c r="X54"/>
  <c r="U54"/>
  <c r="S54"/>
  <c r="Q54"/>
  <c r="P54"/>
  <c r="O54"/>
  <c r="O51"/>
  <c r="N54"/>
  <c r="J54"/>
  <c r="J51"/>
  <c r="I54"/>
  <c r="H54"/>
  <c r="D54"/>
  <c r="F54"/>
  <c r="O53"/>
  <c r="N53"/>
  <c r="S52"/>
  <c r="D52"/>
  <c r="AB51"/>
  <c r="AA51"/>
  <c r="Z51"/>
  <c r="Y51"/>
  <c r="X51"/>
  <c r="W51"/>
  <c r="V51"/>
  <c r="U51"/>
  <c r="U38"/>
  <c r="T51"/>
  <c r="R51"/>
  <c r="Q51"/>
  <c r="P51"/>
  <c r="M51"/>
  <c r="L51"/>
  <c r="K51"/>
  <c r="I51"/>
  <c r="G51"/>
  <c r="F51"/>
  <c r="S50"/>
  <c r="D50"/>
  <c r="N49"/>
  <c r="N47"/>
  <c r="K49"/>
  <c r="J49"/>
  <c r="J47"/>
  <c r="I49"/>
  <c r="I47"/>
  <c r="I38"/>
  <c r="H49"/>
  <c r="H47"/>
  <c r="F49"/>
  <c r="AB48"/>
  <c r="AB47"/>
  <c r="W48"/>
  <c r="V48"/>
  <c r="R48"/>
  <c r="R47"/>
  <c r="M48"/>
  <c r="M47"/>
  <c r="G48"/>
  <c r="AA47"/>
  <c r="Z47"/>
  <c r="Y47"/>
  <c r="X47"/>
  <c r="W47"/>
  <c r="V47"/>
  <c r="U47"/>
  <c r="T47"/>
  <c r="Q47"/>
  <c r="P47"/>
  <c r="O47"/>
  <c r="L47"/>
  <c r="K47"/>
  <c r="G47"/>
  <c r="F47"/>
  <c r="U46"/>
  <c r="F46"/>
  <c r="AB45"/>
  <c r="AB44"/>
  <c r="Z45"/>
  <c r="Z44"/>
  <c r="X45"/>
  <c r="X44"/>
  <c r="S45"/>
  <c r="P45"/>
  <c r="P44"/>
  <c r="N45"/>
  <c r="N44"/>
  <c r="J45"/>
  <c r="AA44"/>
  <c r="Y44"/>
  <c r="Y38"/>
  <c r="W44"/>
  <c r="V44"/>
  <c r="U44"/>
  <c r="T44"/>
  <c r="S44"/>
  <c r="R44"/>
  <c r="Q44"/>
  <c r="O44"/>
  <c r="M44"/>
  <c r="L44"/>
  <c r="K44"/>
  <c r="K38"/>
  <c r="I44"/>
  <c r="H44"/>
  <c r="G44"/>
  <c r="F43"/>
  <c r="D43"/>
  <c r="D42"/>
  <c r="AA41"/>
  <c r="AA40"/>
  <c r="AA38"/>
  <c r="R41"/>
  <c r="R40"/>
  <c r="R38"/>
  <c r="Q41"/>
  <c r="Q40"/>
  <c r="P41"/>
  <c r="O41"/>
  <c r="F41"/>
  <c r="AB40"/>
  <c r="Z40"/>
  <c r="Y40"/>
  <c r="X40"/>
  <c r="W40"/>
  <c r="V40"/>
  <c r="U40"/>
  <c r="T40"/>
  <c r="T38"/>
  <c r="S40"/>
  <c r="P40"/>
  <c r="N40"/>
  <c r="M40"/>
  <c r="M38"/>
  <c r="L40"/>
  <c r="K40"/>
  <c r="J40"/>
  <c r="I40"/>
  <c r="H40"/>
  <c r="G40"/>
  <c r="F40"/>
  <c r="D36"/>
  <c r="D34"/>
  <c r="D33"/>
  <c r="L32"/>
  <c r="K32"/>
  <c r="D31"/>
  <c r="D30"/>
  <c r="D29"/>
  <c r="D28"/>
  <c r="R27"/>
  <c r="P27"/>
  <c r="F26"/>
  <c r="D26"/>
  <c r="D25"/>
  <c r="D24"/>
  <c r="D23"/>
  <c r="D22"/>
  <c r="D21"/>
  <c r="D20"/>
  <c r="F19"/>
  <c r="F14"/>
  <c r="F11"/>
  <c r="D18"/>
  <c r="D17"/>
  <c r="AB16"/>
  <c r="AA16"/>
  <c r="AA14"/>
  <c r="Z16"/>
  <c r="Y16"/>
  <c r="X16"/>
  <c r="X14"/>
  <c r="X11"/>
  <c r="W16"/>
  <c r="W14"/>
  <c r="V16"/>
  <c r="U16"/>
  <c r="T16"/>
  <c r="T14"/>
  <c r="S16"/>
  <c r="S14"/>
  <c r="R16"/>
  <c r="Q16"/>
  <c r="P16"/>
  <c r="O16"/>
  <c r="O14"/>
  <c r="N16"/>
  <c r="M16"/>
  <c r="L16"/>
  <c r="L14"/>
  <c r="K16"/>
  <c r="K14"/>
  <c r="J16"/>
  <c r="I16"/>
  <c r="H16"/>
  <c r="H14"/>
  <c r="G16"/>
  <c r="G14"/>
  <c r="F16"/>
  <c r="D15"/>
  <c r="AB14"/>
  <c r="Z14"/>
  <c r="Y14"/>
  <c r="V14"/>
  <c r="V11"/>
  <c r="U14"/>
  <c r="Q14"/>
  <c r="P14"/>
  <c r="N14"/>
  <c r="M14"/>
  <c r="J14"/>
  <c r="I14"/>
  <c r="AB11"/>
  <c r="T11"/>
  <c r="P11"/>
  <c r="L11"/>
  <c r="H11"/>
  <c r="Z11"/>
  <c r="Y11"/>
  <c r="U11"/>
  <c r="Q11"/>
  <c r="M11"/>
  <c r="J11"/>
  <c r="N11"/>
  <c r="E11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D9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D8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D7"/>
  <c r="F4"/>
  <c r="D4"/>
  <c r="E61"/>
  <c r="D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C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D13"/>
  <c r="D19"/>
  <c r="D32"/>
  <c r="Q38"/>
  <c r="W38"/>
  <c r="D45"/>
  <c r="D48"/>
  <c r="D47"/>
  <c r="D12"/>
  <c r="R14"/>
  <c r="R11"/>
  <c r="L38"/>
  <c r="V38"/>
  <c r="Z38"/>
  <c r="D46"/>
  <c r="D44"/>
  <c r="S51"/>
  <c r="D41"/>
  <c r="D40"/>
  <c r="G38"/>
  <c r="S47"/>
  <c r="S38"/>
  <c r="D49"/>
  <c r="D53"/>
  <c r="D51"/>
  <c r="F63"/>
  <c r="G62"/>
  <c r="G63"/>
  <c r="H62"/>
  <c r="H63"/>
  <c r="I62"/>
  <c r="X38"/>
  <c r="G11"/>
  <c r="K11"/>
  <c r="O11"/>
  <c r="S11"/>
  <c r="W11"/>
  <c r="AA11"/>
  <c r="AB38"/>
  <c r="P38"/>
  <c r="I63"/>
  <c r="J62"/>
  <c r="J63"/>
  <c r="K62"/>
  <c r="K63"/>
  <c r="L62"/>
  <c r="L63"/>
  <c r="M62"/>
  <c r="M63"/>
  <c r="N62"/>
  <c r="N63"/>
  <c r="O62"/>
  <c r="O63"/>
  <c r="P62"/>
  <c r="P63"/>
  <c r="Q62"/>
  <c r="Q63"/>
  <c r="R62"/>
  <c r="R63"/>
  <c r="S62"/>
  <c r="S63"/>
  <c r="T62"/>
  <c r="T63"/>
  <c r="U62"/>
  <c r="U63"/>
  <c r="V62"/>
  <c r="V63"/>
  <c r="W62"/>
  <c r="W63"/>
  <c r="X62"/>
  <c r="X63"/>
  <c r="Y62"/>
  <c r="Y63"/>
  <c r="Z62"/>
  <c r="Z63"/>
  <c r="AA62"/>
  <c r="AA63"/>
  <c r="AB62"/>
  <c r="AB63"/>
  <c r="I11"/>
  <c r="O40"/>
  <c r="O38"/>
  <c r="F44"/>
  <c r="F38"/>
  <c r="F5"/>
  <c r="G4"/>
  <c r="G5"/>
  <c r="H4"/>
  <c r="J44"/>
  <c r="J38"/>
  <c r="H51"/>
  <c r="H38"/>
  <c r="D16"/>
  <c r="D27"/>
  <c r="F59"/>
  <c r="D66"/>
  <c r="N51"/>
  <c r="N38"/>
  <c r="D71"/>
  <c r="D69"/>
  <c r="D14"/>
  <c r="D11"/>
  <c r="H5"/>
  <c r="I4"/>
  <c r="I5"/>
  <c r="J4"/>
  <c r="J5"/>
  <c r="K4"/>
  <c r="K5"/>
  <c r="L4"/>
  <c r="L5"/>
  <c r="M4"/>
  <c r="M5"/>
  <c r="N4"/>
  <c r="N5"/>
  <c r="O4"/>
  <c r="O5"/>
  <c r="P4"/>
  <c r="P5"/>
  <c r="Q4"/>
  <c r="Q5"/>
  <c r="R4"/>
  <c r="R5"/>
  <c r="S4"/>
  <c r="S5"/>
  <c r="T4"/>
  <c r="T5"/>
  <c r="U4"/>
  <c r="U5"/>
  <c r="V4"/>
  <c r="V5"/>
  <c r="W4"/>
  <c r="W5"/>
  <c r="X4"/>
  <c r="X5"/>
  <c r="Y4"/>
  <c r="Y5"/>
  <c r="Z4"/>
  <c r="Z5"/>
  <c r="AA4"/>
  <c r="AA5"/>
  <c r="AB4"/>
  <c r="AB5"/>
  <c r="D38"/>
  <c r="D5"/>
  <c r="D65"/>
  <c r="D63"/>
</calcChain>
</file>

<file path=xl/comments1.xml><?xml version="1.0" encoding="utf-8"?>
<comments xmlns="http://schemas.openxmlformats.org/spreadsheetml/2006/main">
  <authors>
    <author>Sptrans</author>
  </authors>
  <commentList>
    <comment ref="AA13" authorId="0">
      <text>
        <r>
          <rPr>
            <sz val="9"/>
            <color indexed="81"/>
            <rFont val="Tahoma"/>
            <family val="2"/>
          </rPr>
          <t xml:space="preserve">201,00 bilhete sem cadastro identificado em 05/11/2014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1.094,68 Transferência c/c 196-9 (Aposentados)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1.094,68 Transferência c/c 196-9 (Aposentados)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2" authorId="0">
      <text>
        <r>
          <rPr>
            <sz val="9"/>
            <color indexed="81"/>
            <rFont val="Tahoma"/>
            <family val="2"/>
          </rPr>
          <t xml:space="preserve">88,50 DEPÓSITO DESCONHECIDO C/C 8-3
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1.094,68 Transferência para 8-3 (Gestão)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1.094,68 Transferência para 8-3 (Gestão)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<sst xmlns="http://schemas.openxmlformats.org/spreadsheetml/2006/main" count="132" uniqueCount="72">
  <si>
    <t>GERENCIAMENTO SISTEMA TRANSPORTE</t>
  </si>
  <si>
    <t>Total</t>
  </si>
  <si>
    <t>Final</t>
  </si>
  <si>
    <t>REAL</t>
  </si>
  <si>
    <t xml:space="preserve">GESTÃO SALDO INICIAL </t>
  </si>
  <si>
    <t>GESTÃO SALDO FINAL</t>
  </si>
  <si>
    <t xml:space="preserve">333.055-9 - (Banco Brasil)  </t>
  </si>
  <si>
    <t xml:space="preserve">8-3 - (Caixa Econômica)  </t>
  </si>
  <si>
    <t xml:space="preserve">195-0 - (Caixa Econômica)  </t>
  </si>
  <si>
    <t xml:space="preserve">TOTAL RECEITA </t>
  </si>
  <si>
    <t>Receita Frota Pública</t>
  </si>
  <si>
    <t>Gerenc.Crédito Eletrônico Paese / Bilhete Único sem Cadastro</t>
  </si>
  <si>
    <t>Receita Diversas e Financeiras</t>
  </si>
  <si>
    <t>A</t>
  </si>
  <si>
    <t>Receitas Financeiras</t>
  </si>
  <si>
    <t>Pendente</t>
  </si>
  <si>
    <t>Valores Desconhecidos</t>
  </si>
  <si>
    <t>Reemb. Desp. Garagem / Pátio /NDs. Terminal</t>
  </si>
  <si>
    <t xml:space="preserve">Serviços Especiais -  U S P </t>
  </si>
  <si>
    <t>Gerenc. e Operação Bilhet. Eletrôn. (SBE)</t>
  </si>
  <si>
    <t>Aluguel/Água Gatusa</t>
  </si>
  <si>
    <t>Empregados a Disposição</t>
  </si>
  <si>
    <t>Autos de Interdição</t>
  </si>
  <si>
    <t>Acordo Processo Judicial</t>
  </si>
  <si>
    <t>818/822</t>
  </si>
  <si>
    <t>Caução de Contratos / Alvarás</t>
  </si>
  <si>
    <t>Carteira Escolar</t>
  </si>
  <si>
    <t>Devolução Fundo Fixo/Viagem</t>
  </si>
  <si>
    <t>Reembolso Telefone</t>
  </si>
  <si>
    <t>Plano de Saúde</t>
  </si>
  <si>
    <t>Cópias Xerox</t>
  </si>
  <si>
    <t>Multas Contratuais</t>
  </si>
  <si>
    <t>Devolução Funcionário</t>
  </si>
  <si>
    <t>Outros</t>
  </si>
  <si>
    <t>Recurso PMSP - Aumento Capital</t>
  </si>
  <si>
    <t>Recurso PMSP - Operação Man. Sist. Mun.Tran. Col.</t>
  </si>
  <si>
    <r>
      <t>Receita Emprést.</t>
    </r>
    <r>
      <rPr>
        <b/>
        <sz val="10"/>
        <color indexed="10"/>
        <rFont val="Arial"/>
        <family val="2"/>
      </rPr>
      <t xml:space="preserve"> / Devolução </t>
    </r>
    <r>
      <rPr>
        <b/>
        <sz val="10"/>
        <rFont val="Arial"/>
        <family val="2"/>
      </rPr>
      <t>p/Sistema</t>
    </r>
  </si>
  <si>
    <t>PAGAMENTO REALIZADO</t>
  </si>
  <si>
    <t>PESSOAL ATIVO</t>
  </si>
  <si>
    <t>Pessoal - Folha Pagamento/Benefícios</t>
  </si>
  <si>
    <t>Pessoal - Rescisões Contratuais</t>
  </si>
  <si>
    <t>Pessoal - Enc.Sociais/Plano Saúde/Consignação</t>
  </si>
  <si>
    <t>INDENIZAÇÕES</t>
  </si>
  <si>
    <t/>
  </si>
  <si>
    <t>Indenizações - Reclamações / Acordos Trabalhistas</t>
  </si>
  <si>
    <t>Indenizações - Terc./Penhora/Bloqueio Judicial Civel</t>
  </si>
  <si>
    <t>FORNECEDOR</t>
  </si>
  <si>
    <t>Fornecedor - Pequeno (até 16.000)</t>
  </si>
  <si>
    <t>Fornecedor - Grandes (acima 16.000)</t>
  </si>
  <si>
    <t>Fornecedor - Retenções</t>
  </si>
  <si>
    <t xml:space="preserve">DIVERSOS </t>
  </si>
  <si>
    <t>Diversos - Alugueis-Equipamentos/Água/Luz/Telef.</t>
  </si>
  <si>
    <t>Diversos - Impostos/Taxas/Licenc. Veículos</t>
  </si>
  <si>
    <t>Diversos - Diversas / Fundo Fixo / Aluguel Imóveis</t>
  </si>
  <si>
    <t>Diversos - Acordo INSS</t>
  </si>
  <si>
    <t>Diversos - Encargos Financeiros</t>
  </si>
  <si>
    <t>APOSENTADORIA COMPLEMENTAR</t>
  </si>
  <si>
    <t>APOSENTADORIA SALDO INICIAL</t>
  </si>
  <si>
    <t>APOSENTADORIA SALDO FINAL</t>
  </si>
  <si>
    <t>RECEITA TOTAL</t>
  </si>
  <si>
    <t>Outras /Receita Financeira</t>
  </si>
  <si>
    <t>Recurso PMSP - Aposent. Compl. Serv. Sptrans</t>
  </si>
  <si>
    <t xml:space="preserve">PESSOAL INATIVO </t>
  </si>
  <si>
    <t>Complementação  Aposentadoria</t>
  </si>
  <si>
    <t>Encargos Sociais/Consignações/Reembolsos</t>
  </si>
  <si>
    <t>Bloqueio Judicial</t>
  </si>
  <si>
    <t>qua</t>
  </si>
  <si>
    <t>qui</t>
  </si>
  <si>
    <t>sex</t>
  </si>
  <si>
    <t>seg</t>
  </si>
  <si>
    <t>ter</t>
  </si>
  <si>
    <t>OUTUBRO 2014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</si>
</sst>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$-416]mmmm\-yy;@"/>
    <numFmt numFmtId="165" formatCode="dd/mm;@"/>
    <numFmt numFmtId="167" formatCode="_(* #.0\,##0_);_(* \(#.0\,##0\);_(* &quot;-&quot;??_);_(@_)"/>
    <numFmt numFmtId="168" formatCode="_(* #,##0_);[Red]_(* \(#,##0\);_(* &quot;-&quot;??_);_(@_)"/>
    <numFmt numFmtId="172" formatCode="#,##0.00_ ;[Red]\-#,##0.00\ 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b/>
      <sz val="13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1" applyFont="1" applyFill="1" applyBorder="1" applyProtection="1"/>
    <xf numFmtId="0" fontId="2" fillId="0" borderId="0" xfId="0" applyFont="1" applyAlignment="1">
      <alignment horizontal="left"/>
    </xf>
    <xf numFmtId="0" fontId="3" fillId="2" borderId="0" xfId="1" quotePrefix="1" applyFont="1" applyFill="1" applyBorder="1" applyAlignment="1" applyProtection="1">
      <alignment horizontal="center" vertical="center"/>
    </xf>
    <xf numFmtId="164" fontId="4" fillId="2" borderId="0" xfId="3" applyNumberFormat="1" applyFont="1" applyFill="1" applyBorder="1" applyAlignment="1" applyProtection="1">
      <alignment horizontal="right" vertical="center"/>
    </xf>
    <xf numFmtId="165" fontId="11" fillId="2" borderId="0" xfId="1" applyNumberFormat="1" applyFont="1" applyFill="1" applyAlignment="1" applyProtection="1">
      <alignment horizontal="right" vertical="center"/>
    </xf>
    <xf numFmtId="165" fontId="11" fillId="2" borderId="0" xfId="1" applyNumberFormat="1" applyFont="1" applyFill="1" applyBorder="1" applyAlignment="1" applyProtection="1">
      <alignment horizontal="right" vertical="center"/>
    </xf>
    <xf numFmtId="0" fontId="5" fillId="2" borderId="0" xfId="1" applyFont="1" applyFill="1" applyBorder="1" applyProtection="1"/>
    <xf numFmtId="17" fontId="3" fillId="2" borderId="0" xfId="1" quotePrefix="1" applyNumberFormat="1" applyFont="1" applyFill="1" applyBorder="1" applyAlignment="1" applyProtection="1">
      <alignment horizontal="center" vertical="center"/>
    </xf>
    <xf numFmtId="0" fontId="1" fillId="2" borderId="0" xfId="1" applyFont="1" applyFill="1" applyProtection="1"/>
    <xf numFmtId="0" fontId="1" fillId="0" borderId="0" xfId="1" applyFont="1" applyProtection="1"/>
    <xf numFmtId="38" fontId="3" fillId="3" borderId="0" xfId="1" applyNumberFormat="1" applyFont="1" applyFill="1" applyBorder="1" applyAlignment="1" applyProtection="1">
      <alignment horizontal="right" vertical="center"/>
    </xf>
    <xf numFmtId="0" fontId="4" fillId="2" borderId="0" xfId="1" applyFont="1" applyFill="1" applyProtection="1"/>
    <xf numFmtId="0" fontId="1" fillId="0" borderId="0" xfId="1" applyFont="1" applyBorder="1" applyProtection="1"/>
    <xf numFmtId="167" fontId="3" fillId="2" borderId="1" xfId="3" applyNumberFormat="1" applyFont="1" applyFill="1" applyBorder="1" applyAlignment="1" applyProtection="1">
      <alignment horizontal="center"/>
    </xf>
    <xf numFmtId="168" fontId="6" fillId="0" borderId="2" xfId="1" applyNumberFormat="1" applyFont="1" applyBorder="1" applyAlignment="1" applyProtection="1">
      <alignment horizontal="right"/>
    </xf>
    <xf numFmtId="168" fontId="6" fillId="0" borderId="2" xfId="1" applyNumberFormat="1" applyFont="1" applyBorder="1" applyProtection="1"/>
    <xf numFmtId="168" fontId="6" fillId="0" borderId="3" xfId="1" applyNumberFormat="1" applyFont="1" applyBorder="1" applyProtection="1"/>
    <xf numFmtId="0" fontId="5" fillId="0" borderId="0" xfId="1" applyFont="1" applyBorder="1" applyProtection="1"/>
    <xf numFmtId="167" fontId="3" fillId="4" borderId="4" xfId="3" applyNumberFormat="1" applyFont="1" applyFill="1" applyBorder="1" applyAlignment="1" applyProtection="1">
      <alignment horizontal="center"/>
    </xf>
    <xf numFmtId="168" fontId="6" fillId="4" borderId="5" xfId="3" applyNumberFormat="1" applyFont="1" applyFill="1" applyBorder="1" applyAlignment="1" applyProtection="1">
      <alignment horizontal="right"/>
    </xf>
    <xf numFmtId="168" fontId="6" fillId="4" borderId="6" xfId="3" applyNumberFormat="1" applyFont="1" applyFill="1" applyBorder="1" applyAlignment="1" applyProtection="1">
      <alignment horizontal="right"/>
    </xf>
    <xf numFmtId="168" fontId="0" fillId="0" borderId="0" xfId="0" applyNumberFormat="1"/>
    <xf numFmtId="0" fontId="0" fillId="0" borderId="0" xfId="0" applyBorder="1"/>
    <xf numFmtId="168" fontId="0" fillId="0" borderId="0" xfId="0" applyNumberFormat="1" applyBorder="1"/>
    <xf numFmtId="0" fontId="1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3" fontId="6" fillId="2" borderId="0" xfId="3" applyNumberFormat="1" applyFont="1" applyFill="1" applyBorder="1" applyAlignment="1" applyProtection="1">
      <alignment horizontal="right"/>
    </xf>
    <xf numFmtId="164" fontId="6" fillId="2" borderId="0" xfId="3" applyNumberFormat="1" applyFont="1" applyFill="1" applyBorder="1" applyAlignment="1" applyProtection="1">
      <alignment horizontal="right" vertical="center"/>
    </xf>
    <xf numFmtId="168" fontId="11" fillId="2" borderId="0" xfId="1" applyNumberFormat="1" applyFont="1" applyFill="1" applyBorder="1" applyProtection="1"/>
    <xf numFmtId="167" fontId="3" fillId="2" borderId="0" xfId="3" applyNumberFormat="1" applyFont="1" applyFill="1" applyBorder="1" applyAlignment="1" applyProtection="1">
      <alignment horizontal="center"/>
    </xf>
    <xf numFmtId="168" fontId="5" fillId="2" borderId="0" xfId="1" applyNumberFormat="1" applyFont="1" applyFill="1" applyBorder="1" applyAlignment="1" applyProtection="1">
      <alignment horizontal="right"/>
    </xf>
    <xf numFmtId="168" fontId="5" fillId="2" borderId="0" xfId="1" applyNumberFormat="1" applyFont="1" applyFill="1" applyBorder="1" applyProtection="1"/>
    <xf numFmtId="167" fontId="3" fillId="4" borderId="1" xfId="3" applyNumberFormat="1" applyFont="1" applyFill="1" applyBorder="1" applyAlignment="1" applyProtection="1">
      <alignment horizontal="center"/>
    </xf>
    <xf numFmtId="168" fontId="6" fillId="4" borderId="2" xfId="3" applyNumberFormat="1" applyFont="1" applyFill="1" applyBorder="1" applyAlignment="1" applyProtection="1">
      <alignment horizontal="right"/>
    </xf>
    <xf numFmtId="168" fontId="6" fillId="4" borderId="3" xfId="3" applyNumberFormat="1" applyFont="1" applyFill="1" applyBorder="1" applyAlignment="1" applyProtection="1">
      <alignment horizontal="right"/>
    </xf>
    <xf numFmtId="0" fontId="12" fillId="2" borderId="7" xfId="1" applyFont="1" applyFill="1" applyBorder="1" applyAlignment="1" applyProtection="1">
      <alignment horizontal="left"/>
    </xf>
    <xf numFmtId="168" fontId="13" fillId="2" borderId="0" xfId="1" applyNumberFormat="1" applyFont="1" applyFill="1" applyBorder="1" applyAlignment="1" applyProtection="1">
      <alignment horizontal="right"/>
    </xf>
    <xf numFmtId="168" fontId="11" fillId="2" borderId="8" xfId="1" applyNumberFormat="1" applyFont="1" applyFill="1" applyBorder="1" applyProtection="1"/>
    <xf numFmtId="0" fontId="5" fillId="2" borderId="0" xfId="1" applyFont="1" applyFill="1" applyProtection="1"/>
    <xf numFmtId="168" fontId="11" fillId="5" borderId="0" xfId="1" applyNumberFormat="1" applyFont="1" applyFill="1" applyBorder="1" applyProtection="1"/>
    <xf numFmtId="0" fontId="12" fillId="6" borderId="7" xfId="1" applyFont="1" applyFill="1" applyBorder="1" applyAlignment="1" applyProtection="1">
      <alignment horizontal="left"/>
    </xf>
    <xf numFmtId="168" fontId="13" fillId="6" borderId="0" xfId="1" applyNumberFormat="1" applyFont="1" applyFill="1" applyBorder="1" applyAlignment="1" applyProtection="1">
      <alignment horizontal="right"/>
    </xf>
    <xf numFmtId="168" fontId="11" fillId="6" borderId="0" xfId="1" applyNumberFormat="1" applyFont="1" applyFill="1" applyBorder="1" applyProtection="1"/>
    <xf numFmtId="168" fontId="11" fillId="6" borderId="8" xfId="1" applyNumberFormat="1" applyFont="1" applyFill="1" applyBorder="1" applyProtection="1"/>
    <xf numFmtId="0" fontId="1" fillId="7" borderId="0" xfId="0" applyFont="1" applyFill="1"/>
    <xf numFmtId="0" fontId="2" fillId="2" borderId="0" xfId="0" applyFont="1" applyFill="1" applyAlignment="1">
      <alignment horizontal="left"/>
    </xf>
    <xf numFmtId="0" fontId="12" fillId="7" borderId="7" xfId="1" applyFont="1" applyFill="1" applyBorder="1" applyAlignment="1" applyProtection="1">
      <alignment horizontal="right"/>
    </xf>
    <xf numFmtId="168" fontId="13" fillId="7" borderId="0" xfId="1" applyNumberFormat="1" applyFont="1" applyFill="1" applyBorder="1" applyAlignment="1" applyProtection="1">
      <alignment horizontal="right"/>
    </xf>
    <xf numFmtId="168" fontId="11" fillId="7" borderId="0" xfId="1" applyNumberFormat="1" applyFont="1" applyFill="1" applyBorder="1" applyProtection="1"/>
    <xf numFmtId="168" fontId="11" fillId="7" borderId="8" xfId="1" applyNumberFormat="1" applyFont="1" applyFill="1" applyBorder="1" applyProtection="1"/>
    <xf numFmtId="0" fontId="12" fillId="2" borderId="4" xfId="1" applyFont="1" applyFill="1" applyBorder="1" applyAlignment="1" applyProtection="1">
      <alignment horizontal="left"/>
    </xf>
    <xf numFmtId="168" fontId="13" fillId="2" borderId="5" xfId="1" applyNumberFormat="1" applyFont="1" applyFill="1" applyBorder="1" applyAlignment="1" applyProtection="1">
      <alignment horizontal="right"/>
    </xf>
    <xf numFmtId="168" fontId="11" fillId="2" borderId="5" xfId="1" applyNumberFormat="1" applyFont="1" applyFill="1" applyBorder="1" applyProtection="1"/>
    <xf numFmtId="168" fontId="11" fillId="2" borderId="6" xfId="1" applyNumberFormat="1" applyFont="1" applyFill="1" applyBorder="1" applyProtection="1"/>
    <xf numFmtId="0" fontId="1" fillId="2" borderId="0" xfId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12" fillId="2" borderId="0" xfId="1" applyFont="1" applyFill="1" applyBorder="1" applyAlignment="1" applyProtection="1">
      <alignment horizontal="center"/>
    </xf>
    <xf numFmtId="168" fontId="13" fillId="2" borderId="0" xfId="1" applyNumberFormat="1" applyFont="1" applyFill="1" applyBorder="1" applyAlignment="1" applyProtection="1">
      <alignment horizontal="center"/>
    </xf>
    <xf numFmtId="168" fontId="11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12" fillId="2" borderId="9" xfId="1" applyFont="1" applyFill="1" applyBorder="1" applyAlignment="1" applyProtection="1">
      <alignment horizontal="left"/>
    </xf>
    <xf numFmtId="168" fontId="13" fillId="2" borderId="10" xfId="1" applyNumberFormat="1" applyFont="1" applyFill="1" applyBorder="1" applyAlignment="1" applyProtection="1">
      <alignment horizontal="right"/>
    </xf>
    <xf numFmtId="168" fontId="13" fillId="2" borderId="10" xfId="1" applyNumberFormat="1" applyFont="1" applyFill="1" applyBorder="1" applyProtection="1"/>
    <xf numFmtId="168" fontId="11" fillId="2" borderId="10" xfId="1" applyNumberFormat="1" applyFont="1" applyFill="1" applyBorder="1" applyProtection="1"/>
    <xf numFmtId="168" fontId="11" fillId="2" borderId="11" xfId="1" applyNumberFormat="1" applyFont="1" applyFill="1" applyBorder="1" applyProtection="1"/>
    <xf numFmtId="167" fontId="1" fillId="2" borderId="0" xfId="3" applyNumberFormat="1" applyFont="1" applyFill="1" applyBorder="1" applyAlignment="1" applyProtection="1">
      <alignment horizontal="left"/>
    </xf>
    <xf numFmtId="168" fontId="5" fillId="0" borderId="0" xfId="1" applyNumberFormat="1" applyFont="1" applyBorder="1" applyAlignment="1" applyProtection="1">
      <alignment horizontal="right"/>
    </xf>
    <xf numFmtId="168" fontId="5" fillId="0" borderId="0" xfId="1" applyNumberFormat="1" applyFont="1" applyBorder="1" applyProtection="1"/>
    <xf numFmtId="167" fontId="3" fillId="4" borderId="9" xfId="3" applyNumberFormat="1" applyFont="1" applyFill="1" applyBorder="1" applyAlignment="1" applyProtection="1">
      <alignment horizontal="center"/>
    </xf>
    <xf numFmtId="168" fontId="6" fillId="4" borderId="10" xfId="3" applyNumberFormat="1" applyFont="1" applyFill="1" applyBorder="1" applyAlignment="1" applyProtection="1">
      <alignment horizontal="right"/>
    </xf>
    <xf numFmtId="168" fontId="6" fillId="4" borderId="11" xfId="3" applyNumberFormat="1" applyFont="1" applyFill="1" applyBorder="1" applyAlignment="1" applyProtection="1">
      <alignment horizontal="right"/>
    </xf>
    <xf numFmtId="167" fontId="3" fillId="2" borderId="0" xfId="3" applyNumberFormat="1" applyFont="1" applyFill="1" applyBorder="1" applyAlignment="1" applyProtection="1">
      <alignment horizontal="left"/>
    </xf>
    <xf numFmtId="168" fontId="6" fillId="2" borderId="0" xfId="3" quotePrefix="1" applyNumberFormat="1" applyFont="1" applyFill="1" applyBorder="1" applyAlignment="1" applyProtection="1">
      <alignment horizontal="right"/>
    </xf>
    <xf numFmtId="0" fontId="3" fillId="2" borderId="7" xfId="1" applyFont="1" applyFill="1" applyBorder="1" applyAlignment="1" applyProtection="1">
      <alignment horizontal="left"/>
    </xf>
    <xf numFmtId="168" fontId="4" fillId="2" borderId="0" xfId="1" applyNumberFormat="1" applyFont="1" applyFill="1" applyBorder="1" applyAlignment="1" applyProtection="1">
      <alignment horizontal="right"/>
    </xf>
    <xf numFmtId="168" fontId="4" fillId="2" borderId="0" xfId="1" applyNumberFormat="1" applyFont="1" applyFill="1" applyBorder="1" applyProtection="1"/>
    <xf numFmtId="168" fontId="4" fillId="2" borderId="8" xfId="1" applyNumberFormat="1" applyFont="1" applyFill="1" applyBorder="1" applyProtection="1"/>
    <xf numFmtId="167" fontId="3" fillId="4" borderId="7" xfId="3" applyNumberFormat="1" applyFont="1" applyFill="1" applyBorder="1" applyAlignment="1" applyProtection="1">
      <alignment horizontal="center"/>
    </xf>
    <xf numFmtId="168" fontId="6" fillId="4" borderId="0" xfId="3" applyNumberFormat="1" applyFont="1" applyFill="1" applyBorder="1" applyAlignment="1" applyProtection="1">
      <alignment horizontal="right"/>
    </xf>
    <xf numFmtId="168" fontId="6" fillId="4" borderId="8" xfId="3" applyNumberFormat="1" applyFont="1" applyFill="1" applyBorder="1" applyAlignment="1" applyProtection="1">
      <alignment horizontal="right"/>
    </xf>
    <xf numFmtId="0" fontId="1" fillId="2" borderId="0" xfId="1" quotePrefix="1" applyFont="1" applyFill="1" applyProtection="1"/>
    <xf numFmtId="168" fontId="11" fillId="2" borderId="0" xfId="1" applyNumberFormat="1" applyFont="1" applyFill="1" applyBorder="1" applyAlignment="1" applyProtection="1">
      <alignment horizontal="right"/>
    </xf>
    <xf numFmtId="168" fontId="11" fillId="2" borderId="5" xfId="1" applyNumberFormat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right"/>
    </xf>
    <xf numFmtId="0" fontId="1" fillId="0" borderId="0" xfId="0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/>
    <xf numFmtId="168" fontId="4" fillId="0" borderId="0" xfId="0" applyNumberFormat="1" applyFont="1" applyBorder="1"/>
    <xf numFmtId="0" fontId="4" fillId="0" borderId="0" xfId="0" applyFont="1"/>
    <xf numFmtId="0" fontId="3" fillId="2" borderId="4" xfId="1" applyFont="1" applyFill="1" applyBorder="1" applyAlignment="1" applyProtection="1">
      <alignment horizontal="left"/>
    </xf>
    <xf numFmtId="168" fontId="4" fillId="2" borderId="5" xfId="1" applyNumberFormat="1" applyFont="1" applyFill="1" applyBorder="1" applyAlignment="1" applyProtection="1">
      <alignment horizontal="right"/>
    </xf>
    <xf numFmtId="168" fontId="4" fillId="2" borderId="5" xfId="1" applyNumberFormat="1" applyFont="1" applyFill="1" applyBorder="1" applyProtection="1"/>
    <xf numFmtId="168" fontId="4" fillId="2" borderId="6" xfId="1" applyNumberFormat="1" applyFont="1" applyFill="1" applyBorder="1" applyProtection="1"/>
    <xf numFmtId="14" fontId="3" fillId="2" borderId="0" xfId="1" applyNumberFormat="1" applyFont="1" applyFill="1" applyAlignment="1" applyProtection="1">
      <alignment horizontal="left"/>
    </xf>
    <xf numFmtId="0" fontId="5" fillId="0" borderId="0" xfId="1" applyFont="1" applyAlignment="1" applyProtection="1">
      <alignment horizontal="right"/>
    </xf>
    <xf numFmtId="0" fontId="5" fillId="0" borderId="0" xfId="1" applyFont="1" applyProtection="1"/>
    <xf numFmtId="0" fontId="4" fillId="0" borderId="0" xfId="1" applyFont="1" applyProtection="1"/>
    <xf numFmtId="167" fontId="8" fillId="2" borderId="0" xfId="1" applyNumberFormat="1" applyFont="1" applyFill="1" applyProtection="1"/>
    <xf numFmtId="172" fontId="5" fillId="2" borderId="0" xfId="1" applyNumberFormat="1" applyFont="1" applyFill="1" applyProtection="1"/>
    <xf numFmtId="167" fontId="8" fillId="0" borderId="0" xfId="1" applyNumberFormat="1" applyFont="1" applyProtection="1"/>
    <xf numFmtId="43" fontId="5" fillId="0" borderId="0" xfId="3" applyFont="1" applyProtection="1"/>
    <xf numFmtId="0" fontId="8" fillId="0" borderId="0" xfId="1" applyFont="1" applyProtection="1"/>
  </cellXfs>
  <cellStyles count="5">
    <cellStyle name="Normal" xfId="0" builtinId="0"/>
    <cellStyle name="Normal 2" xfId="1"/>
    <cellStyle name="Separador de milhares 2" xfId="2"/>
    <cellStyle name="Separador de milhares 2 2" xfId="3"/>
    <cellStyle name="Separador de milhares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258792</xdr:rowOff>
    </xdr:from>
    <xdr:to>
      <xdr:col>10</xdr:col>
      <xdr:colOff>207034</xdr:colOff>
      <xdr:row>4</xdr:row>
      <xdr:rowOff>241540</xdr:rowOff>
    </xdr:to>
    <xdr:sp macro="" textlink="">
      <xdr:nvSpPr>
        <xdr:cNvPr id="1516" name="AutoShape 1"/>
        <xdr:cNvSpPr>
          <a:spLocks noChangeAspect="1" noChangeArrowheads="1"/>
        </xdr:cNvSpPr>
      </xdr:nvSpPr>
      <xdr:spPr bwMode="auto">
        <a:xfrm>
          <a:off x="5771072" y="569343"/>
          <a:ext cx="559854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810883</xdr:colOff>
      <xdr:row>4</xdr:row>
      <xdr:rowOff>241540</xdr:rowOff>
    </xdr:to>
    <xdr:sp macro="" textlink="">
      <xdr:nvSpPr>
        <xdr:cNvPr id="1517" name="AutoShape 1"/>
        <xdr:cNvSpPr>
          <a:spLocks noChangeAspect="1" noChangeArrowheads="1"/>
        </xdr:cNvSpPr>
      </xdr:nvSpPr>
      <xdr:spPr bwMode="auto">
        <a:xfrm>
          <a:off x="5771072" y="569343"/>
          <a:ext cx="296748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715992</xdr:colOff>
      <xdr:row>4</xdr:row>
      <xdr:rowOff>276045</xdr:rowOff>
    </xdr:to>
    <xdr:sp macro="" textlink="">
      <xdr:nvSpPr>
        <xdr:cNvPr id="1518" name="AutoShape 1"/>
        <xdr:cNvSpPr>
          <a:spLocks noChangeAspect="1" noChangeArrowheads="1"/>
        </xdr:cNvSpPr>
      </xdr:nvSpPr>
      <xdr:spPr bwMode="auto">
        <a:xfrm>
          <a:off x="5771072" y="603849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715992</xdr:colOff>
      <xdr:row>4</xdr:row>
      <xdr:rowOff>241540</xdr:rowOff>
    </xdr:to>
    <xdr:sp macro="" textlink="">
      <xdr:nvSpPr>
        <xdr:cNvPr id="1519" name="AutoShape 1"/>
        <xdr:cNvSpPr>
          <a:spLocks noChangeAspect="1" noChangeArrowheads="1"/>
        </xdr:cNvSpPr>
      </xdr:nvSpPr>
      <xdr:spPr bwMode="auto">
        <a:xfrm>
          <a:off x="5771072" y="569343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715992</xdr:colOff>
      <xdr:row>4</xdr:row>
      <xdr:rowOff>241540</xdr:rowOff>
    </xdr:to>
    <xdr:sp macro="" textlink="">
      <xdr:nvSpPr>
        <xdr:cNvPr id="1520" name="AutoShape 1"/>
        <xdr:cNvSpPr>
          <a:spLocks noChangeAspect="1" noChangeArrowheads="1"/>
        </xdr:cNvSpPr>
      </xdr:nvSpPr>
      <xdr:spPr bwMode="auto">
        <a:xfrm>
          <a:off x="5771072" y="569343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810883</xdr:colOff>
      <xdr:row>4</xdr:row>
      <xdr:rowOff>241540</xdr:rowOff>
    </xdr:to>
    <xdr:sp macro="" textlink="">
      <xdr:nvSpPr>
        <xdr:cNvPr id="1521" name="AutoShape 1"/>
        <xdr:cNvSpPr>
          <a:spLocks noChangeAspect="1" noChangeArrowheads="1"/>
        </xdr:cNvSpPr>
      </xdr:nvSpPr>
      <xdr:spPr bwMode="auto">
        <a:xfrm>
          <a:off x="5771072" y="569343"/>
          <a:ext cx="296748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715992</xdr:colOff>
      <xdr:row>4</xdr:row>
      <xdr:rowOff>276045</xdr:rowOff>
    </xdr:to>
    <xdr:sp macro="" textlink="">
      <xdr:nvSpPr>
        <xdr:cNvPr id="1522" name="AutoShape 1"/>
        <xdr:cNvSpPr>
          <a:spLocks noChangeAspect="1" noChangeArrowheads="1"/>
        </xdr:cNvSpPr>
      </xdr:nvSpPr>
      <xdr:spPr bwMode="auto">
        <a:xfrm>
          <a:off x="5771072" y="603849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888521</xdr:colOff>
      <xdr:row>4</xdr:row>
      <xdr:rowOff>241540</xdr:rowOff>
    </xdr:to>
    <xdr:sp macro="" textlink="">
      <xdr:nvSpPr>
        <xdr:cNvPr id="1523" name="AutoShape 1"/>
        <xdr:cNvSpPr>
          <a:spLocks noChangeAspect="1" noChangeArrowheads="1"/>
        </xdr:cNvSpPr>
      </xdr:nvSpPr>
      <xdr:spPr bwMode="auto">
        <a:xfrm>
          <a:off x="5771072" y="569343"/>
          <a:ext cx="304512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793630</xdr:colOff>
      <xdr:row>4</xdr:row>
      <xdr:rowOff>276045</xdr:rowOff>
    </xdr:to>
    <xdr:sp macro="" textlink="">
      <xdr:nvSpPr>
        <xdr:cNvPr id="1524" name="AutoShape 1"/>
        <xdr:cNvSpPr>
          <a:spLocks noChangeAspect="1" noChangeArrowheads="1"/>
        </xdr:cNvSpPr>
      </xdr:nvSpPr>
      <xdr:spPr bwMode="auto">
        <a:xfrm>
          <a:off x="5771072" y="603849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793630</xdr:colOff>
      <xdr:row>4</xdr:row>
      <xdr:rowOff>241540</xdr:rowOff>
    </xdr:to>
    <xdr:sp macro="" textlink="">
      <xdr:nvSpPr>
        <xdr:cNvPr id="1525" name="AutoShape 1"/>
        <xdr:cNvSpPr>
          <a:spLocks noChangeAspect="1" noChangeArrowheads="1"/>
        </xdr:cNvSpPr>
      </xdr:nvSpPr>
      <xdr:spPr bwMode="auto">
        <a:xfrm>
          <a:off x="5771072" y="569343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793630</xdr:colOff>
      <xdr:row>4</xdr:row>
      <xdr:rowOff>241540</xdr:rowOff>
    </xdr:to>
    <xdr:sp macro="" textlink="">
      <xdr:nvSpPr>
        <xdr:cNvPr id="1526" name="AutoShape 1"/>
        <xdr:cNvSpPr>
          <a:spLocks noChangeAspect="1" noChangeArrowheads="1"/>
        </xdr:cNvSpPr>
      </xdr:nvSpPr>
      <xdr:spPr bwMode="auto">
        <a:xfrm>
          <a:off x="5771072" y="569343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888521</xdr:colOff>
      <xdr:row>4</xdr:row>
      <xdr:rowOff>241540</xdr:rowOff>
    </xdr:to>
    <xdr:sp macro="" textlink="">
      <xdr:nvSpPr>
        <xdr:cNvPr id="1527" name="AutoShape 1"/>
        <xdr:cNvSpPr>
          <a:spLocks noChangeAspect="1" noChangeArrowheads="1"/>
        </xdr:cNvSpPr>
      </xdr:nvSpPr>
      <xdr:spPr bwMode="auto">
        <a:xfrm>
          <a:off x="5771072" y="569343"/>
          <a:ext cx="304512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793630</xdr:colOff>
      <xdr:row>4</xdr:row>
      <xdr:rowOff>276045</xdr:rowOff>
    </xdr:to>
    <xdr:sp macro="" textlink="">
      <xdr:nvSpPr>
        <xdr:cNvPr id="1528" name="AutoShape 1"/>
        <xdr:cNvSpPr>
          <a:spLocks noChangeAspect="1" noChangeArrowheads="1"/>
        </xdr:cNvSpPr>
      </xdr:nvSpPr>
      <xdr:spPr bwMode="auto">
        <a:xfrm>
          <a:off x="5771072" y="603849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810883</xdr:colOff>
      <xdr:row>4</xdr:row>
      <xdr:rowOff>241540</xdr:rowOff>
    </xdr:to>
    <xdr:sp macro="" textlink="">
      <xdr:nvSpPr>
        <xdr:cNvPr id="1529" name="AutoShape 1"/>
        <xdr:cNvSpPr>
          <a:spLocks noChangeAspect="1" noChangeArrowheads="1"/>
        </xdr:cNvSpPr>
      </xdr:nvSpPr>
      <xdr:spPr bwMode="auto">
        <a:xfrm>
          <a:off x="5771072" y="569343"/>
          <a:ext cx="296748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715992</xdr:colOff>
      <xdr:row>4</xdr:row>
      <xdr:rowOff>276045</xdr:rowOff>
    </xdr:to>
    <xdr:sp macro="" textlink="">
      <xdr:nvSpPr>
        <xdr:cNvPr id="1530" name="AutoShape 1"/>
        <xdr:cNvSpPr>
          <a:spLocks noChangeAspect="1" noChangeArrowheads="1"/>
        </xdr:cNvSpPr>
      </xdr:nvSpPr>
      <xdr:spPr bwMode="auto">
        <a:xfrm>
          <a:off x="5771072" y="603849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715992</xdr:colOff>
      <xdr:row>4</xdr:row>
      <xdr:rowOff>241540</xdr:rowOff>
    </xdr:to>
    <xdr:sp macro="" textlink="">
      <xdr:nvSpPr>
        <xdr:cNvPr id="1531" name="AutoShape 1"/>
        <xdr:cNvSpPr>
          <a:spLocks noChangeAspect="1" noChangeArrowheads="1"/>
        </xdr:cNvSpPr>
      </xdr:nvSpPr>
      <xdr:spPr bwMode="auto">
        <a:xfrm>
          <a:off x="5771072" y="569343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715992</xdr:colOff>
      <xdr:row>4</xdr:row>
      <xdr:rowOff>241540</xdr:rowOff>
    </xdr:to>
    <xdr:sp macro="" textlink="">
      <xdr:nvSpPr>
        <xdr:cNvPr id="1532" name="AutoShape 1"/>
        <xdr:cNvSpPr>
          <a:spLocks noChangeAspect="1" noChangeArrowheads="1"/>
        </xdr:cNvSpPr>
      </xdr:nvSpPr>
      <xdr:spPr bwMode="auto">
        <a:xfrm>
          <a:off x="5771072" y="569343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810883</xdr:colOff>
      <xdr:row>4</xdr:row>
      <xdr:rowOff>241540</xdr:rowOff>
    </xdr:to>
    <xdr:sp macro="" textlink="">
      <xdr:nvSpPr>
        <xdr:cNvPr id="1533" name="AutoShape 1"/>
        <xdr:cNvSpPr>
          <a:spLocks noChangeAspect="1" noChangeArrowheads="1"/>
        </xdr:cNvSpPr>
      </xdr:nvSpPr>
      <xdr:spPr bwMode="auto">
        <a:xfrm>
          <a:off x="5771072" y="569343"/>
          <a:ext cx="296748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715992</xdr:colOff>
      <xdr:row>4</xdr:row>
      <xdr:rowOff>276045</xdr:rowOff>
    </xdr:to>
    <xdr:sp macro="" textlink="">
      <xdr:nvSpPr>
        <xdr:cNvPr id="1534" name="AutoShape 1"/>
        <xdr:cNvSpPr>
          <a:spLocks noChangeAspect="1" noChangeArrowheads="1"/>
        </xdr:cNvSpPr>
      </xdr:nvSpPr>
      <xdr:spPr bwMode="auto">
        <a:xfrm>
          <a:off x="5771072" y="603849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888521</xdr:colOff>
      <xdr:row>4</xdr:row>
      <xdr:rowOff>241540</xdr:rowOff>
    </xdr:to>
    <xdr:sp macro="" textlink="">
      <xdr:nvSpPr>
        <xdr:cNvPr id="1535" name="AutoShape 1"/>
        <xdr:cNvSpPr>
          <a:spLocks noChangeAspect="1" noChangeArrowheads="1"/>
        </xdr:cNvSpPr>
      </xdr:nvSpPr>
      <xdr:spPr bwMode="auto">
        <a:xfrm>
          <a:off x="5771072" y="569343"/>
          <a:ext cx="304512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793630</xdr:colOff>
      <xdr:row>4</xdr:row>
      <xdr:rowOff>276045</xdr:rowOff>
    </xdr:to>
    <xdr:sp macro="" textlink="">
      <xdr:nvSpPr>
        <xdr:cNvPr id="1536" name="AutoShape 1"/>
        <xdr:cNvSpPr>
          <a:spLocks noChangeAspect="1" noChangeArrowheads="1"/>
        </xdr:cNvSpPr>
      </xdr:nvSpPr>
      <xdr:spPr bwMode="auto">
        <a:xfrm>
          <a:off x="5771072" y="603849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793630</xdr:colOff>
      <xdr:row>4</xdr:row>
      <xdr:rowOff>241540</xdr:rowOff>
    </xdr:to>
    <xdr:sp macro="" textlink="">
      <xdr:nvSpPr>
        <xdr:cNvPr id="1537" name="AutoShape 1"/>
        <xdr:cNvSpPr>
          <a:spLocks noChangeAspect="1" noChangeArrowheads="1"/>
        </xdr:cNvSpPr>
      </xdr:nvSpPr>
      <xdr:spPr bwMode="auto">
        <a:xfrm>
          <a:off x="5771072" y="569343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793630</xdr:colOff>
      <xdr:row>4</xdr:row>
      <xdr:rowOff>241540</xdr:rowOff>
    </xdr:to>
    <xdr:sp macro="" textlink="">
      <xdr:nvSpPr>
        <xdr:cNvPr id="1538" name="AutoShape 1"/>
        <xdr:cNvSpPr>
          <a:spLocks noChangeAspect="1" noChangeArrowheads="1"/>
        </xdr:cNvSpPr>
      </xdr:nvSpPr>
      <xdr:spPr bwMode="auto">
        <a:xfrm>
          <a:off x="5771072" y="569343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888521</xdr:colOff>
      <xdr:row>4</xdr:row>
      <xdr:rowOff>241540</xdr:rowOff>
    </xdr:to>
    <xdr:sp macro="" textlink="">
      <xdr:nvSpPr>
        <xdr:cNvPr id="1539" name="AutoShape 1"/>
        <xdr:cNvSpPr>
          <a:spLocks noChangeAspect="1" noChangeArrowheads="1"/>
        </xdr:cNvSpPr>
      </xdr:nvSpPr>
      <xdr:spPr bwMode="auto">
        <a:xfrm>
          <a:off x="5771072" y="569343"/>
          <a:ext cx="304512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793630</xdr:colOff>
      <xdr:row>4</xdr:row>
      <xdr:rowOff>276045</xdr:rowOff>
    </xdr:to>
    <xdr:sp macro="" textlink="">
      <xdr:nvSpPr>
        <xdr:cNvPr id="1540" name="AutoShape 1"/>
        <xdr:cNvSpPr>
          <a:spLocks noChangeAspect="1" noChangeArrowheads="1"/>
        </xdr:cNvSpPr>
      </xdr:nvSpPr>
      <xdr:spPr bwMode="auto">
        <a:xfrm>
          <a:off x="5771072" y="603849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810883</xdr:colOff>
      <xdr:row>4</xdr:row>
      <xdr:rowOff>241540</xdr:rowOff>
    </xdr:to>
    <xdr:sp macro="" textlink="">
      <xdr:nvSpPr>
        <xdr:cNvPr id="1541" name="AutoShape 1"/>
        <xdr:cNvSpPr>
          <a:spLocks noChangeAspect="1" noChangeArrowheads="1"/>
        </xdr:cNvSpPr>
      </xdr:nvSpPr>
      <xdr:spPr bwMode="auto">
        <a:xfrm>
          <a:off x="5771072" y="569343"/>
          <a:ext cx="296748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715992</xdr:colOff>
      <xdr:row>4</xdr:row>
      <xdr:rowOff>276045</xdr:rowOff>
    </xdr:to>
    <xdr:sp macro="" textlink="">
      <xdr:nvSpPr>
        <xdr:cNvPr id="1542" name="AutoShape 1"/>
        <xdr:cNvSpPr>
          <a:spLocks noChangeAspect="1" noChangeArrowheads="1"/>
        </xdr:cNvSpPr>
      </xdr:nvSpPr>
      <xdr:spPr bwMode="auto">
        <a:xfrm>
          <a:off x="5771072" y="603849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715992</xdr:colOff>
      <xdr:row>4</xdr:row>
      <xdr:rowOff>241540</xdr:rowOff>
    </xdr:to>
    <xdr:sp macro="" textlink="">
      <xdr:nvSpPr>
        <xdr:cNvPr id="1543" name="AutoShape 1"/>
        <xdr:cNvSpPr>
          <a:spLocks noChangeAspect="1" noChangeArrowheads="1"/>
        </xdr:cNvSpPr>
      </xdr:nvSpPr>
      <xdr:spPr bwMode="auto">
        <a:xfrm>
          <a:off x="5771072" y="569343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715992</xdr:colOff>
      <xdr:row>4</xdr:row>
      <xdr:rowOff>241540</xdr:rowOff>
    </xdr:to>
    <xdr:sp macro="" textlink="">
      <xdr:nvSpPr>
        <xdr:cNvPr id="1544" name="AutoShape 1"/>
        <xdr:cNvSpPr>
          <a:spLocks noChangeAspect="1" noChangeArrowheads="1"/>
        </xdr:cNvSpPr>
      </xdr:nvSpPr>
      <xdr:spPr bwMode="auto">
        <a:xfrm>
          <a:off x="5771072" y="569343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810883</xdr:colOff>
      <xdr:row>4</xdr:row>
      <xdr:rowOff>241540</xdr:rowOff>
    </xdr:to>
    <xdr:sp macro="" textlink="">
      <xdr:nvSpPr>
        <xdr:cNvPr id="1545" name="AutoShape 1"/>
        <xdr:cNvSpPr>
          <a:spLocks noChangeAspect="1" noChangeArrowheads="1"/>
        </xdr:cNvSpPr>
      </xdr:nvSpPr>
      <xdr:spPr bwMode="auto">
        <a:xfrm>
          <a:off x="5771072" y="569343"/>
          <a:ext cx="296748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715992</xdr:colOff>
      <xdr:row>4</xdr:row>
      <xdr:rowOff>276045</xdr:rowOff>
    </xdr:to>
    <xdr:sp macro="" textlink="">
      <xdr:nvSpPr>
        <xdr:cNvPr id="1546" name="AutoShape 1"/>
        <xdr:cNvSpPr>
          <a:spLocks noChangeAspect="1" noChangeArrowheads="1"/>
        </xdr:cNvSpPr>
      </xdr:nvSpPr>
      <xdr:spPr bwMode="auto">
        <a:xfrm>
          <a:off x="5771072" y="603849"/>
          <a:ext cx="28725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888521</xdr:colOff>
      <xdr:row>4</xdr:row>
      <xdr:rowOff>241540</xdr:rowOff>
    </xdr:to>
    <xdr:sp macro="" textlink="">
      <xdr:nvSpPr>
        <xdr:cNvPr id="1547" name="AutoShape 1"/>
        <xdr:cNvSpPr>
          <a:spLocks noChangeAspect="1" noChangeArrowheads="1"/>
        </xdr:cNvSpPr>
      </xdr:nvSpPr>
      <xdr:spPr bwMode="auto">
        <a:xfrm>
          <a:off x="5771072" y="569343"/>
          <a:ext cx="304512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793630</xdr:colOff>
      <xdr:row>4</xdr:row>
      <xdr:rowOff>276045</xdr:rowOff>
    </xdr:to>
    <xdr:sp macro="" textlink="">
      <xdr:nvSpPr>
        <xdr:cNvPr id="1548" name="AutoShape 1"/>
        <xdr:cNvSpPr>
          <a:spLocks noChangeAspect="1" noChangeArrowheads="1"/>
        </xdr:cNvSpPr>
      </xdr:nvSpPr>
      <xdr:spPr bwMode="auto">
        <a:xfrm>
          <a:off x="5771072" y="603849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793630</xdr:colOff>
      <xdr:row>4</xdr:row>
      <xdr:rowOff>241540</xdr:rowOff>
    </xdr:to>
    <xdr:sp macro="" textlink="">
      <xdr:nvSpPr>
        <xdr:cNvPr id="1549" name="AutoShape 1"/>
        <xdr:cNvSpPr>
          <a:spLocks noChangeAspect="1" noChangeArrowheads="1"/>
        </xdr:cNvSpPr>
      </xdr:nvSpPr>
      <xdr:spPr bwMode="auto">
        <a:xfrm>
          <a:off x="5771072" y="569343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793630</xdr:colOff>
      <xdr:row>4</xdr:row>
      <xdr:rowOff>241540</xdr:rowOff>
    </xdr:to>
    <xdr:sp macro="" textlink="">
      <xdr:nvSpPr>
        <xdr:cNvPr id="1550" name="AutoShape 1"/>
        <xdr:cNvSpPr>
          <a:spLocks noChangeAspect="1" noChangeArrowheads="1"/>
        </xdr:cNvSpPr>
      </xdr:nvSpPr>
      <xdr:spPr bwMode="auto">
        <a:xfrm>
          <a:off x="5771072" y="569343"/>
          <a:ext cx="295023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5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52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5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54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5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56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57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58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59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0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62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64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6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68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69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70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2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74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76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7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8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79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80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8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82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8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84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58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586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60385</xdr:colOff>
      <xdr:row>4</xdr:row>
      <xdr:rowOff>241540</xdr:rowOff>
    </xdr:to>
    <xdr:sp macro="" textlink="">
      <xdr:nvSpPr>
        <xdr:cNvPr id="1587" name="AutoShape 1"/>
        <xdr:cNvSpPr>
          <a:spLocks noChangeAspect="1" noChangeArrowheads="1"/>
        </xdr:cNvSpPr>
      </xdr:nvSpPr>
      <xdr:spPr bwMode="auto">
        <a:xfrm>
          <a:off x="5771072" y="569343"/>
          <a:ext cx="22169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1017917</xdr:colOff>
      <xdr:row>4</xdr:row>
      <xdr:rowOff>276045</xdr:rowOff>
    </xdr:to>
    <xdr:sp macro="" textlink="">
      <xdr:nvSpPr>
        <xdr:cNvPr id="1588" name="AutoShape 1"/>
        <xdr:cNvSpPr>
          <a:spLocks noChangeAspect="1" noChangeArrowheads="1"/>
        </xdr:cNvSpPr>
      </xdr:nvSpPr>
      <xdr:spPr bwMode="auto">
        <a:xfrm>
          <a:off x="5771072" y="603849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1017917</xdr:colOff>
      <xdr:row>4</xdr:row>
      <xdr:rowOff>241540</xdr:rowOff>
    </xdr:to>
    <xdr:sp macro="" textlink="">
      <xdr:nvSpPr>
        <xdr:cNvPr id="1589" name="AutoShape 1"/>
        <xdr:cNvSpPr>
          <a:spLocks noChangeAspect="1" noChangeArrowheads="1"/>
        </xdr:cNvSpPr>
      </xdr:nvSpPr>
      <xdr:spPr bwMode="auto">
        <a:xfrm>
          <a:off x="5771072" y="569343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1017917</xdr:colOff>
      <xdr:row>4</xdr:row>
      <xdr:rowOff>241540</xdr:rowOff>
    </xdr:to>
    <xdr:sp macro="" textlink="">
      <xdr:nvSpPr>
        <xdr:cNvPr id="1590" name="AutoShape 1"/>
        <xdr:cNvSpPr>
          <a:spLocks noChangeAspect="1" noChangeArrowheads="1"/>
        </xdr:cNvSpPr>
      </xdr:nvSpPr>
      <xdr:spPr bwMode="auto">
        <a:xfrm>
          <a:off x="5771072" y="569343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60385</xdr:colOff>
      <xdr:row>4</xdr:row>
      <xdr:rowOff>241540</xdr:rowOff>
    </xdr:to>
    <xdr:sp macro="" textlink="">
      <xdr:nvSpPr>
        <xdr:cNvPr id="1591" name="AutoShape 1"/>
        <xdr:cNvSpPr>
          <a:spLocks noChangeAspect="1" noChangeArrowheads="1"/>
        </xdr:cNvSpPr>
      </xdr:nvSpPr>
      <xdr:spPr bwMode="auto">
        <a:xfrm>
          <a:off x="5771072" y="569343"/>
          <a:ext cx="22169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1017917</xdr:colOff>
      <xdr:row>4</xdr:row>
      <xdr:rowOff>276045</xdr:rowOff>
    </xdr:to>
    <xdr:sp macro="" textlink="">
      <xdr:nvSpPr>
        <xdr:cNvPr id="1592" name="AutoShape 1"/>
        <xdr:cNvSpPr>
          <a:spLocks noChangeAspect="1" noChangeArrowheads="1"/>
        </xdr:cNvSpPr>
      </xdr:nvSpPr>
      <xdr:spPr bwMode="auto">
        <a:xfrm>
          <a:off x="5771072" y="603849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138023</xdr:colOff>
      <xdr:row>4</xdr:row>
      <xdr:rowOff>241540</xdr:rowOff>
    </xdr:to>
    <xdr:sp macro="" textlink="">
      <xdr:nvSpPr>
        <xdr:cNvPr id="1593" name="AutoShape 1"/>
        <xdr:cNvSpPr>
          <a:spLocks noChangeAspect="1" noChangeArrowheads="1"/>
        </xdr:cNvSpPr>
      </xdr:nvSpPr>
      <xdr:spPr bwMode="auto">
        <a:xfrm>
          <a:off x="5771072" y="569343"/>
          <a:ext cx="229462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43132</xdr:colOff>
      <xdr:row>4</xdr:row>
      <xdr:rowOff>276045</xdr:rowOff>
    </xdr:to>
    <xdr:sp macro="" textlink="">
      <xdr:nvSpPr>
        <xdr:cNvPr id="1594" name="AutoShape 1"/>
        <xdr:cNvSpPr>
          <a:spLocks noChangeAspect="1" noChangeArrowheads="1"/>
        </xdr:cNvSpPr>
      </xdr:nvSpPr>
      <xdr:spPr bwMode="auto">
        <a:xfrm>
          <a:off x="5771072" y="603849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43132</xdr:colOff>
      <xdr:row>4</xdr:row>
      <xdr:rowOff>241540</xdr:rowOff>
    </xdr:to>
    <xdr:sp macro="" textlink="">
      <xdr:nvSpPr>
        <xdr:cNvPr id="1595" name="AutoShape 1"/>
        <xdr:cNvSpPr>
          <a:spLocks noChangeAspect="1" noChangeArrowheads="1"/>
        </xdr:cNvSpPr>
      </xdr:nvSpPr>
      <xdr:spPr bwMode="auto">
        <a:xfrm>
          <a:off x="5771072" y="569343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43132</xdr:colOff>
      <xdr:row>4</xdr:row>
      <xdr:rowOff>241540</xdr:rowOff>
    </xdr:to>
    <xdr:sp macro="" textlink="">
      <xdr:nvSpPr>
        <xdr:cNvPr id="1596" name="AutoShape 1"/>
        <xdr:cNvSpPr>
          <a:spLocks noChangeAspect="1" noChangeArrowheads="1"/>
        </xdr:cNvSpPr>
      </xdr:nvSpPr>
      <xdr:spPr bwMode="auto">
        <a:xfrm>
          <a:off x="5771072" y="569343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138023</xdr:colOff>
      <xdr:row>4</xdr:row>
      <xdr:rowOff>241540</xdr:rowOff>
    </xdr:to>
    <xdr:sp macro="" textlink="">
      <xdr:nvSpPr>
        <xdr:cNvPr id="1597" name="AutoShape 1"/>
        <xdr:cNvSpPr>
          <a:spLocks noChangeAspect="1" noChangeArrowheads="1"/>
        </xdr:cNvSpPr>
      </xdr:nvSpPr>
      <xdr:spPr bwMode="auto">
        <a:xfrm>
          <a:off x="5771072" y="569343"/>
          <a:ext cx="229462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43132</xdr:colOff>
      <xdr:row>4</xdr:row>
      <xdr:rowOff>276045</xdr:rowOff>
    </xdr:to>
    <xdr:sp macro="" textlink="">
      <xdr:nvSpPr>
        <xdr:cNvPr id="1598" name="AutoShape 1"/>
        <xdr:cNvSpPr>
          <a:spLocks noChangeAspect="1" noChangeArrowheads="1"/>
        </xdr:cNvSpPr>
      </xdr:nvSpPr>
      <xdr:spPr bwMode="auto">
        <a:xfrm>
          <a:off x="5771072" y="603849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60385</xdr:colOff>
      <xdr:row>4</xdr:row>
      <xdr:rowOff>241540</xdr:rowOff>
    </xdr:to>
    <xdr:sp macro="" textlink="">
      <xdr:nvSpPr>
        <xdr:cNvPr id="1599" name="AutoShape 1"/>
        <xdr:cNvSpPr>
          <a:spLocks noChangeAspect="1" noChangeArrowheads="1"/>
        </xdr:cNvSpPr>
      </xdr:nvSpPr>
      <xdr:spPr bwMode="auto">
        <a:xfrm>
          <a:off x="5771072" y="569343"/>
          <a:ext cx="22169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1017917</xdr:colOff>
      <xdr:row>4</xdr:row>
      <xdr:rowOff>276045</xdr:rowOff>
    </xdr:to>
    <xdr:sp macro="" textlink="">
      <xdr:nvSpPr>
        <xdr:cNvPr id="1600" name="AutoShape 1"/>
        <xdr:cNvSpPr>
          <a:spLocks noChangeAspect="1" noChangeArrowheads="1"/>
        </xdr:cNvSpPr>
      </xdr:nvSpPr>
      <xdr:spPr bwMode="auto">
        <a:xfrm>
          <a:off x="5771072" y="603849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1017917</xdr:colOff>
      <xdr:row>4</xdr:row>
      <xdr:rowOff>241540</xdr:rowOff>
    </xdr:to>
    <xdr:sp macro="" textlink="">
      <xdr:nvSpPr>
        <xdr:cNvPr id="1601" name="AutoShape 1"/>
        <xdr:cNvSpPr>
          <a:spLocks noChangeAspect="1" noChangeArrowheads="1"/>
        </xdr:cNvSpPr>
      </xdr:nvSpPr>
      <xdr:spPr bwMode="auto">
        <a:xfrm>
          <a:off x="5771072" y="569343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1017917</xdr:colOff>
      <xdr:row>4</xdr:row>
      <xdr:rowOff>241540</xdr:rowOff>
    </xdr:to>
    <xdr:sp macro="" textlink="">
      <xdr:nvSpPr>
        <xdr:cNvPr id="1602" name="AutoShape 1"/>
        <xdr:cNvSpPr>
          <a:spLocks noChangeAspect="1" noChangeArrowheads="1"/>
        </xdr:cNvSpPr>
      </xdr:nvSpPr>
      <xdr:spPr bwMode="auto">
        <a:xfrm>
          <a:off x="5771072" y="569343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60385</xdr:colOff>
      <xdr:row>4</xdr:row>
      <xdr:rowOff>241540</xdr:rowOff>
    </xdr:to>
    <xdr:sp macro="" textlink="">
      <xdr:nvSpPr>
        <xdr:cNvPr id="1603" name="AutoShape 1"/>
        <xdr:cNvSpPr>
          <a:spLocks noChangeAspect="1" noChangeArrowheads="1"/>
        </xdr:cNvSpPr>
      </xdr:nvSpPr>
      <xdr:spPr bwMode="auto">
        <a:xfrm>
          <a:off x="5771072" y="569343"/>
          <a:ext cx="22169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1017917</xdr:colOff>
      <xdr:row>4</xdr:row>
      <xdr:rowOff>276045</xdr:rowOff>
    </xdr:to>
    <xdr:sp macro="" textlink="">
      <xdr:nvSpPr>
        <xdr:cNvPr id="1604" name="AutoShape 1"/>
        <xdr:cNvSpPr>
          <a:spLocks noChangeAspect="1" noChangeArrowheads="1"/>
        </xdr:cNvSpPr>
      </xdr:nvSpPr>
      <xdr:spPr bwMode="auto">
        <a:xfrm>
          <a:off x="5771072" y="603849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138023</xdr:colOff>
      <xdr:row>4</xdr:row>
      <xdr:rowOff>241540</xdr:rowOff>
    </xdr:to>
    <xdr:sp macro="" textlink="">
      <xdr:nvSpPr>
        <xdr:cNvPr id="1605" name="AutoShape 1"/>
        <xdr:cNvSpPr>
          <a:spLocks noChangeAspect="1" noChangeArrowheads="1"/>
        </xdr:cNvSpPr>
      </xdr:nvSpPr>
      <xdr:spPr bwMode="auto">
        <a:xfrm>
          <a:off x="5771072" y="569343"/>
          <a:ext cx="229462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43132</xdr:colOff>
      <xdr:row>4</xdr:row>
      <xdr:rowOff>276045</xdr:rowOff>
    </xdr:to>
    <xdr:sp macro="" textlink="">
      <xdr:nvSpPr>
        <xdr:cNvPr id="1606" name="AutoShape 1"/>
        <xdr:cNvSpPr>
          <a:spLocks noChangeAspect="1" noChangeArrowheads="1"/>
        </xdr:cNvSpPr>
      </xdr:nvSpPr>
      <xdr:spPr bwMode="auto">
        <a:xfrm>
          <a:off x="5771072" y="603849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43132</xdr:colOff>
      <xdr:row>4</xdr:row>
      <xdr:rowOff>241540</xdr:rowOff>
    </xdr:to>
    <xdr:sp macro="" textlink="">
      <xdr:nvSpPr>
        <xdr:cNvPr id="1607" name="AutoShape 1"/>
        <xdr:cNvSpPr>
          <a:spLocks noChangeAspect="1" noChangeArrowheads="1"/>
        </xdr:cNvSpPr>
      </xdr:nvSpPr>
      <xdr:spPr bwMode="auto">
        <a:xfrm>
          <a:off x="5771072" y="569343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43132</xdr:colOff>
      <xdr:row>4</xdr:row>
      <xdr:rowOff>241540</xdr:rowOff>
    </xdr:to>
    <xdr:sp macro="" textlink="">
      <xdr:nvSpPr>
        <xdr:cNvPr id="1608" name="AutoShape 1"/>
        <xdr:cNvSpPr>
          <a:spLocks noChangeAspect="1" noChangeArrowheads="1"/>
        </xdr:cNvSpPr>
      </xdr:nvSpPr>
      <xdr:spPr bwMode="auto">
        <a:xfrm>
          <a:off x="5771072" y="569343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138023</xdr:colOff>
      <xdr:row>4</xdr:row>
      <xdr:rowOff>241540</xdr:rowOff>
    </xdr:to>
    <xdr:sp macro="" textlink="">
      <xdr:nvSpPr>
        <xdr:cNvPr id="1609" name="AutoShape 1"/>
        <xdr:cNvSpPr>
          <a:spLocks noChangeAspect="1" noChangeArrowheads="1"/>
        </xdr:cNvSpPr>
      </xdr:nvSpPr>
      <xdr:spPr bwMode="auto">
        <a:xfrm>
          <a:off x="5771072" y="569343"/>
          <a:ext cx="229462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43132</xdr:colOff>
      <xdr:row>4</xdr:row>
      <xdr:rowOff>276045</xdr:rowOff>
    </xdr:to>
    <xdr:sp macro="" textlink="">
      <xdr:nvSpPr>
        <xdr:cNvPr id="1610" name="AutoShape 1"/>
        <xdr:cNvSpPr>
          <a:spLocks noChangeAspect="1" noChangeArrowheads="1"/>
        </xdr:cNvSpPr>
      </xdr:nvSpPr>
      <xdr:spPr bwMode="auto">
        <a:xfrm>
          <a:off x="5771072" y="603849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60385</xdr:colOff>
      <xdr:row>4</xdr:row>
      <xdr:rowOff>241540</xdr:rowOff>
    </xdr:to>
    <xdr:sp macro="" textlink="">
      <xdr:nvSpPr>
        <xdr:cNvPr id="1611" name="AutoShape 1"/>
        <xdr:cNvSpPr>
          <a:spLocks noChangeAspect="1" noChangeArrowheads="1"/>
        </xdr:cNvSpPr>
      </xdr:nvSpPr>
      <xdr:spPr bwMode="auto">
        <a:xfrm>
          <a:off x="5771072" y="569343"/>
          <a:ext cx="22169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1017917</xdr:colOff>
      <xdr:row>4</xdr:row>
      <xdr:rowOff>276045</xdr:rowOff>
    </xdr:to>
    <xdr:sp macro="" textlink="">
      <xdr:nvSpPr>
        <xdr:cNvPr id="1612" name="AutoShape 1"/>
        <xdr:cNvSpPr>
          <a:spLocks noChangeAspect="1" noChangeArrowheads="1"/>
        </xdr:cNvSpPr>
      </xdr:nvSpPr>
      <xdr:spPr bwMode="auto">
        <a:xfrm>
          <a:off x="5771072" y="603849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1017917</xdr:colOff>
      <xdr:row>4</xdr:row>
      <xdr:rowOff>241540</xdr:rowOff>
    </xdr:to>
    <xdr:sp macro="" textlink="">
      <xdr:nvSpPr>
        <xdr:cNvPr id="1613" name="AutoShape 1"/>
        <xdr:cNvSpPr>
          <a:spLocks noChangeAspect="1" noChangeArrowheads="1"/>
        </xdr:cNvSpPr>
      </xdr:nvSpPr>
      <xdr:spPr bwMode="auto">
        <a:xfrm>
          <a:off x="5771072" y="569343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1017917</xdr:colOff>
      <xdr:row>4</xdr:row>
      <xdr:rowOff>241540</xdr:rowOff>
    </xdr:to>
    <xdr:sp macro="" textlink="">
      <xdr:nvSpPr>
        <xdr:cNvPr id="1614" name="AutoShape 1"/>
        <xdr:cNvSpPr>
          <a:spLocks noChangeAspect="1" noChangeArrowheads="1"/>
        </xdr:cNvSpPr>
      </xdr:nvSpPr>
      <xdr:spPr bwMode="auto">
        <a:xfrm>
          <a:off x="5771072" y="569343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60385</xdr:colOff>
      <xdr:row>4</xdr:row>
      <xdr:rowOff>241540</xdr:rowOff>
    </xdr:to>
    <xdr:sp macro="" textlink="">
      <xdr:nvSpPr>
        <xdr:cNvPr id="1615" name="AutoShape 1"/>
        <xdr:cNvSpPr>
          <a:spLocks noChangeAspect="1" noChangeArrowheads="1"/>
        </xdr:cNvSpPr>
      </xdr:nvSpPr>
      <xdr:spPr bwMode="auto">
        <a:xfrm>
          <a:off x="5771072" y="569343"/>
          <a:ext cx="22169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1017917</xdr:colOff>
      <xdr:row>4</xdr:row>
      <xdr:rowOff>276045</xdr:rowOff>
    </xdr:to>
    <xdr:sp macro="" textlink="">
      <xdr:nvSpPr>
        <xdr:cNvPr id="1616" name="AutoShape 1"/>
        <xdr:cNvSpPr>
          <a:spLocks noChangeAspect="1" noChangeArrowheads="1"/>
        </xdr:cNvSpPr>
      </xdr:nvSpPr>
      <xdr:spPr bwMode="auto">
        <a:xfrm>
          <a:off x="5771072" y="603849"/>
          <a:ext cx="20962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138023</xdr:colOff>
      <xdr:row>4</xdr:row>
      <xdr:rowOff>241540</xdr:rowOff>
    </xdr:to>
    <xdr:sp macro="" textlink="">
      <xdr:nvSpPr>
        <xdr:cNvPr id="1617" name="AutoShape 1"/>
        <xdr:cNvSpPr>
          <a:spLocks noChangeAspect="1" noChangeArrowheads="1"/>
        </xdr:cNvSpPr>
      </xdr:nvSpPr>
      <xdr:spPr bwMode="auto">
        <a:xfrm>
          <a:off x="5771072" y="569343"/>
          <a:ext cx="229462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7</xdr:col>
      <xdr:colOff>43132</xdr:colOff>
      <xdr:row>4</xdr:row>
      <xdr:rowOff>276045</xdr:rowOff>
    </xdr:to>
    <xdr:sp macro="" textlink="">
      <xdr:nvSpPr>
        <xdr:cNvPr id="1618" name="AutoShape 1"/>
        <xdr:cNvSpPr>
          <a:spLocks noChangeAspect="1" noChangeArrowheads="1"/>
        </xdr:cNvSpPr>
      </xdr:nvSpPr>
      <xdr:spPr bwMode="auto">
        <a:xfrm>
          <a:off x="5771072" y="603849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43132</xdr:colOff>
      <xdr:row>4</xdr:row>
      <xdr:rowOff>241540</xdr:rowOff>
    </xdr:to>
    <xdr:sp macro="" textlink="">
      <xdr:nvSpPr>
        <xdr:cNvPr id="1619" name="AutoShape 1"/>
        <xdr:cNvSpPr>
          <a:spLocks noChangeAspect="1" noChangeArrowheads="1"/>
        </xdr:cNvSpPr>
      </xdr:nvSpPr>
      <xdr:spPr bwMode="auto">
        <a:xfrm>
          <a:off x="5771072" y="569343"/>
          <a:ext cx="219973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7</xdr:col>
      <xdr:colOff>138023</xdr:colOff>
      <xdr:row>4</xdr:row>
      <xdr:rowOff>241540</xdr:rowOff>
    </xdr:to>
    <xdr:sp macro="" textlink="">
      <xdr:nvSpPr>
        <xdr:cNvPr id="1620" name="AutoShape 1"/>
        <xdr:cNvSpPr>
          <a:spLocks noChangeAspect="1" noChangeArrowheads="1"/>
        </xdr:cNvSpPr>
      </xdr:nvSpPr>
      <xdr:spPr bwMode="auto">
        <a:xfrm>
          <a:off x="5771072" y="569343"/>
          <a:ext cx="229462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2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22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2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24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2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26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27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28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29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0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32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34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6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7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38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39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40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2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44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5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46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7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8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49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50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51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681487</xdr:colOff>
      <xdr:row>4</xdr:row>
      <xdr:rowOff>276045</xdr:rowOff>
    </xdr:to>
    <xdr:sp macro="" textlink="">
      <xdr:nvSpPr>
        <xdr:cNvPr id="1652" name="AutoShape 1"/>
        <xdr:cNvSpPr>
          <a:spLocks noChangeAspect="1" noChangeArrowheads="1"/>
        </xdr:cNvSpPr>
      </xdr:nvSpPr>
      <xdr:spPr bwMode="auto">
        <a:xfrm>
          <a:off x="5771072" y="603849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681487</xdr:colOff>
      <xdr:row>4</xdr:row>
      <xdr:rowOff>241540</xdr:rowOff>
    </xdr:to>
    <xdr:sp macro="" textlink="">
      <xdr:nvSpPr>
        <xdr:cNvPr id="1653" name="AutoShape 1"/>
        <xdr:cNvSpPr>
          <a:spLocks noChangeAspect="1" noChangeArrowheads="1"/>
        </xdr:cNvSpPr>
      </xdr:nvSpPr>
      <xdr:spPr bwMode="auto">
        <a:xfrm>
          <a:off x="5771072" y="569343"/>
          <a:ext cx="175978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905774</xdr:colOff>
      <xdr:row>4</xdr:row>
      <xdr:rowOff>241540</xdr:rowOff>
    </xdr:to>
    <xdr:sp macro="" textlink="">
      <xdr:nvSpPr>
        <xdr:cNvPr id="1654" name="AutoShape 1"/>
        <xdr:cNvSpPr>
          <a:spLocks noChangeAspect="1" noChangeArrowheads="1"/>
        </xdr:cNvSpPr>
      </xdr:nvSpPr>
      <xdr:spPr bwMode="auto">
        <a:xfrm>
          <a:off x="5771072" y="569343"/>
          <a:ext cx="1984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810883</xdr:colOff>
      <xdr:row>4</xdr:row>
      <xdr:rowOff>276045</xdr:rowOff>
    </xdr:to>
    <xdr:sp macro="" textlink="">
      <xdr:nvSpPr>
        <xdr:cNvPr id="1655" name="AutoShape 1"/>
        <xdr:cNvSpPr>
          <a:spLocks noChangeAspect="1" noChangeArrowheads="1"/>
        </xdr:cNvSpPr>
      </xdr:nvSpPr>
      <xdr:spPr bwMode="auto">
        <a:xfrm>
          <a:off x="5771072" y="603849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810883</xdr:colOff>
      <xdr:row>4</xdr:row>
      <xdr:rowOff>241540</xdr:rowOff>
    </xdr:to>
    <xdr:sp macro="" textlink="">
      <xdr:nvSpPr>
        <xdr:cNvPr id="1656" name="AutoShape 1"/>
        <xdr:cNvSpPr>
          <a:spLocks noChangeAspect="1" noChangeArrowheads="1"/>
        </xdr:cNvSpPr>
      </xdr:nvSpPr>
      <xdr:spPr bwMode="auto">
        <a:xfrm>
          <a:off x="5771072" y="569343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810883</xdr:colOff>
      <xdr:row>4</xdr:row>
      <xdr:rowOff>241540</xdr:rowOff>
    </xdr:to>
    <xdr:sp macro="" textlink="">
      <xdr:nvSpPr>
        <xdr:cNvPr id="1657" name="AutoShape 1"/>
        <xdr:cNvSpPr>
          <a:spLocks noChangeAspect="1" noChangeArrowheads="1"/>
        </xdr:cNvSpPr>
      </xdr:nvSpPr>
      <xdr:spPr bwMode="auto">
        <a:xfrm>
          <a:off x="5771072" y="569343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905774</xdr:colOff>
      <xdr:row>4</xdr:row>
      <xdr:rowOff>241540</xdr:rowOff>
    </xdr:to>
    <xdr:sp macro="" textlink="">
      <xdr:nvSpPr>
        <xdr:cNvPr id="1658" name="AutoShape 1"/>
        <xdr:cNvSpPr>
          <a:spLocks noChangeAspect="1" noChangeArrowheads="1"/>
        </xdr:cNvSpPr>
      </xdr:nvSpPr>
      <xdr:spPr bwMode="auto">
        <a:xfrm>
          <a:off x="5771072" y="569343"/>
          <a:ext cx="1984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810883</xdr:colOff>
      <xdr:row>4</xdr:row>
      <xdr:rowOff>276045</xdr:rowOff>
    </xdr:to>
    <xdr:sp macro="" textlink="">
      <xdr:nvSpPr>
        <xdr:cNvPr id="1659" name="AutoShape 1"/>
        <xdr:cNvSpPr>
          <a:spLocks noChangeAspect="1" noChangeArrowheads="1"/>
        </xdr:cNvSpPr>
      </xdr:nvSpPr>
      <xdr:spPr bwMode="auto">
        <a:xfrm>
          <a:off x="5771072" y="603849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983411</xdr:colOff>
      <xdr:row>4</xdr:row>
      <xdr:rowOff>241540</xdr:rowOff>
    </xdr:to>
    <xdr:sp macro="" textlink="">
      <xdr:nvSpPr>
        <xdr:cNvPr id="1660" name="AutoShape 1"/>
        <xdr:cNvSpPr>
          <a:spLocks noChangeAspect="1" noChangeArrowheads="1"/>
        </xdr:cNvSpPr>
      </xdr:nvSpPr>
      <xdr:spPr bwMode="auto">
        <a:xfrm>
          <a:off x="5771072" y="569343"/>
          <a:ext cx="206171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879894</xdr:colOff>
      <xdr:row>4</xdr:row>
      <xdr:rowOff>276045</xdr:rowOff>
    </xdr:to>
    <xdr:sp macro="" textlink="">
      <xdr:nvSpPr>
        <xdr:cNvPr id="1661" name="AutoShape 1"/>
        <xdr:cNvSpPr>
          <a:spLocks noChangeAspect="1" noChangeArrowheads="1"/>
        </xdr:cNvSpPr>
      </xdr:nvSpPr>
      <xdr:spPr bwMode="auto">
        <a:xfrm>
          <a:off x="5771072" y="603849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879894</xdr:colOff>
      <xdr:row>4</xdr:row>
      <xdr:rowOff>241540</xdr:rowOff>
    </xdr:to>
    <xdr:sp macro="" textlink="">
      <xdr:nvSpPr>
        <xdr:cNvPr id="1662" name="AutoShape 1"/>
        <xdr:cNvSpPr>
          <a:spLocks noChangeAspect="1" noChangeArrowheads="1"/>
        </xdr:cNvSpPr>
      </xdr:nvSpPr>
      <xdr:spPr bwMode="auto">
        <a:xfrm>
          <a:off x="5771072" y="569343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879894</xdr:colOff>
      <xdr:row>4</xdr:row>
      <xdr:rowOff>241540</xdr:rowOff>
    </xdr:to>
    <xdr:sp macro="" textlink="">
      <xdr:nvSpPr>
        <xdr:cNvPr id="1663" name="AutoShape 1"/>
        <xdr:cNvSpPr>
          <a:spLocks noChangeAspect="1" noChangeArrowheads="1"/>
        </xdr:cNvSpPr>
      </xdr:nvSpPr>
      <xdr:spPr bwMode="auto">
        <a:xfrm>
          <a:off x="5771072" y="569343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983411</xdr:colOff>
      <xdr:row>4</xdr:row>
      <xdr:rowOff>241540</xdr:rowOff>
    </xdr:to>
    <xdr:sp macro="" textlink="">
      <xdr:nvSpPr>
        <xdr:cNvPr id="1664" name="AutoShape 1"/>
        <xdr:cNvSpPr>
          <a:spLocks noChangeAspect="1" noChangeArrowheads="1"/>
        </xdr:cNvSpPr>
      </xdr:nvSpPr>
      <xdr:spPr bwMode="auto">
        <a:xfrm>
          <a:off x="5771072" y="569343"/>
          <a:ext cx="206171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879894</xdr:colOff>
      <xdr:row>4</xdr:row>
      <xdr:rowOff>276045</xdr:rowOff>
    </xdr:to>
    <xdr:sp macro="" textlink="">
      <xdr:nvSpPr>
        <xdr:cNvPr id="1665" name="AutoShape 1"/>
        <xdr:cNvSpPr>
          <a:spLocks noChangeAspect="1" noChangeArrowheads="1"/>
        </xdr:cNvSpPr>
      </xdr:nvSpPr>
      <xdr:spPr bwMode="auto">
        <a:xfrm>
          <a:off x="5771072" y="603849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905774</xdr:colOff>
      <xdr:row>4</xdr:row>
      <xdr:rowOff>241540</xdr:rowOff>
    </xdr:to>
    <xdr:sp macro="" textlink="">
      <xdr:nvSpPr>
        <xdr:cNvPr id="1666" name="AutoShape 1"/>
        <xdr:cNvSpPr>
          <a:spLocks noChangeAspect="1" noChangeArrowheads="1"/>
        </xdr:cNvSpPr>
      </xdr:nvSpPr>
      <xdr:spPr bwMode="auto">
        <a:xfrm>
          <a:off x="5771072" y="569343"/>
          <a:ext cx="1984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810883</xdr:colOff>
      <xdr:row>4</xdr:row>
      <xdr:rowOff>276045</xdr:rowOff>
    </xdr:to>
    <xdr:sp macro="" textlink="">
      <xdr:nvSpPr>
        <xdr:cNvPr id="1667" name="AutoShape 1"/>
        <xdr:cNvSpPr>
          <a:spLocks noChangeAspect="1" noChangeArrowheads="1"/>
        </xdr:cNvSpPr>
      </xdr:nvSpPr>
      <xdr:spPr bwMode="auto">
        <a:xfrm>
          <a:off x="5771072" y="603849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810883</xdr:colOff>
      <xdr:row>4</xdr:row>
      <xdr:rowOff>241540</xdr:rowOff>
    </xdr:to>
    <xdr:sp macro="" textlink="">
      <xdr:nvSpPr>
        <xdr:cNvPr id="1668" name="AutoShape 1"/>
        <xdr:cNvSpPr>
          <a:spLocks noChangeAspect="1" noChangeArrowheads="1"/>
        </xdr:cNvSpPr>
      </xdr:nvSpPr>
      <xdr:spPr bwMode="auto">
        <a:xfrm>
          <a:off x="5771072" y="569343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810883</xdr:colOff>
      <xdr:row>4</xdr:row>
      <xdr:rowOff>241540</xdr:rowOff>
    </xdr:to>
    <xdr:sp macro="" textlink="">
      <xdr:nvSpPr>
        <xdr:cNvPr id="1669" name="AutoShape 1"/>
        <xdr:cNvSpPr>
          <a:spLocks noChangeAspect="1" noChangeArrowheads="1"/>
        </xdr:cNvSpPr>
      </xdr:nvSpPr>
      <xdr:spPr bwMode="auto">
        <a:xfrm>
          <a:off x="5771072" y="569343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905774</xdr:colOff>
      <xdr:row>4</xdr:row>
      <xdr:rowOff>241540</xdr:rowOff>
    </xdr:to>
    <xdr:sp macro="" textlink="">
      <xdr:nvSpPr>
        <xdr:cNvPr id="1670" name="AutoShape 1"/>
        <xdr:cNvSpPr>
          <a:spLocks noChangeAspect="1" noChangeArrowheads="1"/>
        </xdr:cNvSpPr>
      </xdr:nvSpPr>
      <xdr:spPr bwMode="auto">
        <a:xfrm>
          <a:off x="5771072" y="569343"/>
          <a:ext cx="1984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810883</xdr:colOff>
      <xdr:row>4</xdr:row>
      <xdr:rowOff>276045</xdr:rowOff>
    </xdr:to>
    <xdr:sp macro="" textlink="">
      <xdr:nvSpPr>
        <xdr:cNvPr id="1671" name="AutoShape 1"/>
        <xdr:cNvSpPr>
          <a:spLocks noChangeAspect="1" noChangeArrowheads="1"/>
        </xdr:cNvSpPr>
      </xdr:nvSpPr>
      <xdr:spPr bwMode="auto">
        <a:xfrm>
          <a:off x="5771072" y="603849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983411</xdr:colOff>
      <xdr:row>4</xdr:row>
      <xdr:rowOff>241540</xdr:rowOff>
    </xdr:to>
    <xdr:sp macro="" textlink="">
      <xdr:nvSpPr>
        <xdr:cNvPr id="1672" name="AutoShape 1"/>
        <xdr:cNvSpPr>
          <a:spLocks noChangeAspect="1" noChangeArrowheads="1"/>
        </xdr:cNvSpPr>
      </xdr:nvSpPr>
      <xdr:spPr bwMode="auto">
        <a:xfrm>
          <a:off x="5771072" y="569343"/>
          <a:ext cx="206171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879894</xdr:colOff>
      <xdr:row>4</xdr:row>
      <xdr:rowOff>276045</xdr:rowOff>
    </xdr:to>
    <xdr:sp macro="" textlink="">
      <xdr:nvSpPr>
        <xdr:cNvPr id="1673" name="AutoShape 1"/>
        <xdr:cNvSpPr>
          <a:spLocks noChangeAspect="1" noChangeArrowheads="1"/>
        </xdr:cNvSpPr>
      </xdr:nvSpPr>
      <xdr:spPr bwMode="auto">
        <a:xfrm>
          <a:off x="5771072" y="603849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879894</xdr:colOff>
      <xdr:row>4</xdr:row>
      <xdr:rowOff>241540</xdr:rowOff>
    </xdr:to>
    <xdr:sp macro="" textlink="">
      <xdr:nvSpPr>
        <xdr:cNvPr id="1674" name="AutoShape 1"/>
        <xdr:cNvSpPr>
          <a:spLocks noChangeAspect="1" noChangeArrowheads="1"/>
        </xdr:cNvSpPr>
      </xdr:nvSpPr>
      <xdr:spPr bwMode="auto">
        <a:xfrm>
          <a:off x="5771072" y="569343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879894</xdr:colOff>
      <xdr:row>4</xdr:row>
      <xdr:rowOff>241540</xdr:rowOff>
    </xdr:to>
    <xdr:sp macro="" textlink="">
      <xdr:nvSpPr>
        <xdr:cNvPr id="1675" name="AutoShape 1"/>
        <xdr:cNvSpPr>
          <a:spLocks noChangeAspect="1" noChangeArrowheads="1"/>
        </xdr:cNvSpPr>
      </xdr:nvSpPr>
      <xdr:spPr bwMode="auto">
        <a:xfrm>
          <a:off x="5771072" y="569343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983411</xdr:colOff>
      <xdr:row>4</xdr:row>
      <xdr:rowOff>241540</xdr:rowOff>
    </xdr:to>
    <xdr:sp macro="" textlink="">
      <xdr:nvSpPr>
        <xdr:cNvPr id="1676" name="AutoShape 1"/>
        <xdr:cNvSpPr>
          <a:spLocks noChangeAspect="1" noChangeArrowheads="1"/>
        </xdr:cNvSpPr>
      </xdr:nvSpPr>
      <xdr:spPr bwMode="auto">
        <a:xfrm>
          <a:off x="5771072" y="569343"/>
          <a:ext cx="206171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879894</xdr:colOff>
      <xdr:row>4</xdr:row>
      <xdr:rowOff>276045</xdr:rowOff>
    </xdr:to>
    <xdr:sp macro="" textlink="">
      <xdr:nvSpPr>
        <xdr:cNvPr id="1677" name="AutoShape 1"/>
        <xdr:cNvSpPr>
          <a:spLocks noChangeAspect="1" noChangeArrowheads="1"/>
        </xdr:cNvSpPr>
      </xdr:nvSpPr>
      <xdr:spPr bwMode="auto">
        <a:xfrm>
          <a:off x="5771072" y="603849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905774</xdr:colOff>
      <xdr:row>4</xdr:row>
      <xdr:rowOff>241540</xdr:rowOff>
    </xdr:to>
    <xdr:sp macro="" textlink="">
      <xdr:nvSpPr>
        <xdr:cNvPr id="1678" name="AutoShape 1"/>
        <xdr:cNvSpPr>
          <a:spLocks noChangeAspect="1" noChangeArrowheads="1"/>
        </xdr:cNvSpPr>
      </xdr:nvSpPr>
      <xdr:spPr bwMode="auto">
        <a:xfrm>
          <a:off x="5771072" y="569343"/>
          <a:ext cx="1984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810883</xdr:colOff>
      <xdr:row>4</xdr:row>
      <xdr:rowOff>276045</xdr:rowOff>
    </xdr:to>
    <xdr:sp macro="" textlink="">
      <xdr:nvSpPr>
        <xdr:cNvPr id="1679" name="AutoShape 1"/>
        <xdr:cNvSpPr>
          <a:spLocks noChangeAspect="1" noChangeArrowheads="1"/>
        </xdr:cNvSpPr>
      </xdr:nvSpPr>
      <xdr:spPr bwMode="auto">
        <a:xfrm>
          <a:off x="5771072" y="603849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810883</xdr:colOff>
      <xdr:row>4</xdr:row>
      <xdr:rowOff>241540</xdr:rowOff>
    </xdr:to>
    <xdr:sp macro="" textlink="">
      <xdr:nvSpPr>
        <xdr:cNvPr id="1680" name="AutoShape 1"/>
        <xdr:cNvSpPr>
          <a:spLocks noChangeAspect="1" noChangeArrowheads="1"/>
        </xdr:cNvSpPr>
      </xdr:nvSpPr>
      <xdr:spPr bwMode="auto">
        <a:xfrm>
          <a:off x="5771072" y="569343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810883</xdr:colOff>
      <xdr:row>4</xdr:row>
      <xdr:rowOff>241540</xdr:rowOff>
    </xdr:to>
    <xdr:sp macro="" textlink="">
      <xdr:nvSpPr>
        <xdr:cNvPr id="1681" name="AutoShape 1"/>
        <xdr:cNvSpPr>
          <a:spLocks noChangeAspect="1" noChangeArrowheads="1"/>
        </xdr:cNvSpPr>
      </xdr:nvSpPr>
      <xdr:spPr bwMode="auto">
        <a:xfrm>
          <a:off x="5771072" y="569343"/>
          <a:ext cx="18891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905774</xdr:colOff>
      <xdr:row>4</xdr:row>
      <xdr:rowOff>241540</xdr:rowOff>
    </xdr:to>
    <xdr:sp macro="" textlink="">
      <xdr:nvSpPr>
        <xdr:cNvPr id="1682" name="AutoShape 1"/>
        <xdr:cNvSpPr>
          <a:spLocks noChangeAspect="1" noChangeArrowheads="1"/>
        </xdr:cNvSpPr>
      </xdr:nvSpPr>
      <xdr:spPr bwMode="auto">
        <a:xfrm>
          <a:off x="5771072" y="569343"/>
          <a:ext cx="1984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983411</xdr:colOff>
      <xdr:row>4</xdr:row>
      <xdr:rowOff>241540</xdr:rowOff>
    </xdr:to>
    <xdr:sp macro="" textlink="">
      <xdr:nvSpPr>
        <xdr:cNvPr id="1683" name="AutoShape 1"/>
        <xdr:cNvSpPr>
          <a:spLocks noChangeAspect="1" noChangeArrowheads="1"/>
        </xdr:cNvSpPr>
      </xdr:nvSpPr>
      <xdr:spPr bwMode="auto">
        <a:xfrm>
          <a:off x="5771072" y="569343"/>
          <a:ext cx="206171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879894</xdr:colOff>
      <xdr:row>4</xdr:row>
      <xdr:rowOff>276045</xdr:rowOff>
    </xdr:to>
    <xdr:sp macro="" textlink="">
      <xdr:nvSpPr>
        <xdr:cNvPr id="1684" name="AutoShape 1"/>
        <xdr:cNvSpPr>
          <a:spLocks noChangeAspect="1" noChangeArrowheads="1"/>
        </xdr:cNvSpPr>
      </xdr:nvSpPr>
      <xdr:spPr bwMode="auto">
        <a:xfrm>
          <a:off x="5771072" y="603849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879894</xdr:colOff>
      <xdr:row>4</xdr:row>
      <xdr:rowOff>241540</xdr:rowOff>
    </xdr:to>
    <xdr:sp macro="" textlink="">
      <xdr:nvSpPr>
        <xdr:cNvPr id="1685" name="AutoShape 1"/>
        <xdr:cNvSpPr>
          <a:spLocks noChangeAspect="1" noChangeArrowheads="1"/>
        </xdr:cNvSpPr>
      </xdr:nvSpPr>
      <xdr:spPr bwMode="auto">
        <a:xfrm>
          <a:off x="5771072" y="569343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879894</xdr:colOff>
      <xdr:row>4</xdr:row>
      <xdr:rowOff>241540</xdr:rowOff>
    </xdr:to>
    <xdr:sp macro="" textlink="">
      <xdr:nvSpPr>
        <xdr:cNvPr id="1686" name="AutoShape 1"/>
        <xdr:cNvSpPr>
          <a:spLocks noChangeAspect="1" noChangeArrowheads="1"/>
        </xdr:cNvSpPr>
      </xdr:nvSpPr>
      <xdr:spPr bwMode="auto">
        <a:xfrm>
          <a:off x="5771072" y="569343"/>
          <a:ext cx="195819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983411</xdr:colOff>
      <xdr:row>4</xdr:row>
      <xdr:rowOff>241540</xdr:rowOff>
    </xdr:to>
    <xdr:sp macro="" textlink="">
      <xdr:nvSpPr>
        <xdr:cNvPr id="1687" name="AutoShape 1"/>
        <xdr:cNvSpPr>
          <a:spLocks noChangeAspect="1" noChangeArrowheads="1"/>
        </xdr:cNvSpPr>
      </xdr:nvSpPr>
      <xdr:spPr bwMode="auto">
        <a:xfrm>
          <a:off x="5771072" y="569343"/>
          <a:ext cx="206171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8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689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0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2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693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4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695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69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699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0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01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2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4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05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07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0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10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11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12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13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14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1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1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17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1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19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20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2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22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23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24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725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726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727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28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729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30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731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732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733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34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735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36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737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738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739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40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741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42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743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744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745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46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747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48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749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750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751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52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753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54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755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756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757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474453</xdr:colOff>
      <xdr:row>4</xdr:row>
      <xdr:rowOff>241540</xdr:rowOff>
    </xdr:to>
    <xdr:sp macro="" textlink="">
      <xdr:nvSpPr>
        <xdr:cNvPr id="1758" name="AutoShape 1"/>
        <xdr:cNvSpPr>
          <a:spLocks noChangeAspect="1" noChangeArrowheads="1"/>
        </xdr:cNvSpPr>
      </xdr:nvSpPr>
      <xdr:spPr bwMode="auto">
        <a:xfrm>
          <a:off x="5771072" y="569343"/>
          <a:ext cx="15527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59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60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1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2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3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64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5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66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7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8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69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70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71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72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73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74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75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76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77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78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79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0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1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82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3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84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5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6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7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88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89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90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91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92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198408</xdr:colOff>
      <xdr:row>4</xdr:row>
      <xdr:rowOff>241540</xdr:rowOff>
    </xdr:to>
    <xdr:sp macro="" textlink="">
      <xdr:nvSpPr>
        <xdr:cNvPr id="1793" name="AutoShape 1"/>
        <xdr:cNvSpPr>
          <a:spLocks noChangeAspect="1" noChangeArrowheads="1"/>
        </xdr:cNvSpPr>
      </xdr:nvSpPr>
      <xdr:spPr bwMode="auto">
        <a:xfrm>
          <a:off x="5771072" y="569343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198408</xdr:colOff>
      <xdr:row>4</xdr:row>
      <xdr:rowOff>276045</xdr:rowOff>
    </xdr:to>
    <xdr:sp macro="" textlink="">
      <xdr:nvSpPr>
        <xdr:cNvPr id="1794" name="AutoShape 1"/>
        <xdr:cNvSpPr>
          <a:spLocks noChangeAspect="1" noChangeArrowheads="1"/>
        </xdr:cNvSpPr>
      </xdr:nvSpPr>
      <xdr:spPr bwMode="auto">
        <a:xfrm>
          <a:off x="5771072" y="603849"/>
          <a:ext cx="127670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9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796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9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9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79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00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0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02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0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04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0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06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0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0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0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0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12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14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1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1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20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2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24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26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2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30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483079</xdr:colOff>
      <xdr:row>4</xdr:row>
      <xdr:rowOff>241540</xdr:rowOff>
    </xdr:to>
    <xdr:sp macro="" textlink="">
      <xdr:nvSpPr>
        <xdr:cNvPr id="1831" name="AutoShape 1"/>
        <xdr:cNvSpPr>
          <a:spLocks noChangeAspect="1" noChangeArrowheads="1"/>
        </xdr:cNvSpPr>
      </xdr:nvSpPr>
      <xdr:spPr bwMode="auto">
        <a:xfrm>
          <a:off x="5771072" y="569343"/>
          <a:ext cx="156138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832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833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834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483079</xdr:colOff>
      <xdr:row>4</xdr:row>
      <xdr:rowOff>241540</xdr:rowOff>
    </xdr:to>
    <xdr:sp macro="" textlink="">
      <xdr:nvSpPr>
        <xdr:cNvPr id="1835" name="AutoShape 1"/>
        <xdr:cNvSpPr>
          <a:spLocks noChangeAspect="1" noChangeArrowheads="1"/>
        </xdr:cNvSpPr>
      </xdr:nvSpPr>
      <xdr:spPr bwMode="auto">
        <a:xfrm>
          <a:off x="5771072" y="569343"/>
          <a:ext cx="156138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836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560717</xdr:colOff>
      <xdr:row>4</xdr:row>
      <xdr:rowOff>241540</xdr:rowOff>
    </xdr:to>
    <xdr:sp macro="" textlink="">
      <xdr:nvSpPr>
        <xdr:cNvPr id="1837" name="AutoShape 1"/>
        <xdr:cNvSpPr>
          <a:spLocks noChangeAspect="1" noChangeArrowheads="1"/>
        </xdr:cNvSpPr>
      </xdr:nvSpPr>
      <xdr:spPr bwMode="auto">
        <a:xfrm>
          <a:off x="5771072" y="569343"/>
          <a:ext cx="16390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838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839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840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560717</xdr:colOff>
      <xdr:row>4</xdr:row>
      <xdr:rowOff>241540</xdr:rowOff>
    </xdr:to>
    <xdr:sp macro="" textlink="">
      <xdr:nvSpPr>
        <xdr:cNvPr id="1841" name="AutoShape 1"/>
        <xdr:cNvSpPr>
          <a:spLocks noChangeAspect="1" noChangeArrowheads="1"/>
        </xdr:cNvSpPr>
      </xdr:nvSpPr>
      <xdr:spPr bwMode="auto">
        <a:xfrm>
          <a:off x="5771072" y="569343"/>
          <a:ext cx="16390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842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483079</xdr:colOff>
      <xdr:row>4</xdr:row>
      <xdr:rowOff>241540</xdr:rowOff>
    </xdr:to>
    <xdr:sp macro="" textlink="">
      <xdr:nvSpPr>
        <xdr:cNvPr id="1843" name="AutoShape 1"/>
        <xdr:cNvSpPr>
          <a:spLocks noChangeAspect="1" noChangeArrowheads="1"/>
        </xdr:cNvSpPr>
      </xdr:nvSpPr>
      <xdr:spPr bwMode="auto">
        <a:xfrm>
          <a:off x="5771072" y="569343"/>
          <a:ext cx="156138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844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845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846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483079</xdr:colOff>
      <xdr:row>4</xdr:row>
      <xdr:rowOff>241540</xdr:rowOff>
    </xdr:to>
    <xdr:sp macro="" textlink="">
      <xdr:nvSpPr>
        <xdr:cNvPr id="1847" name="AutoShape 1"/>
        <xdr:cNvSpPr>
          <a:spLocks noChangeAspect="1" noChangeArrowheads="1"/>
        </xdr:cNvSpPr>
      </xdr:nvSpPr>
      <xdr:spPr bwMode="auto">
        <a:xfrm>
          <a:off x="5771072" y="569343"/>
          <a:ext cx="156138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848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560717</xdr:colOff>
      <xdr:row>4</xdr:row>
      <xdr:rowOff>241540</xdr:rowOff>
    </xdr:to>
    <xdr:sp macro="" textlink="">
      <xdr:nvSpPr>
        <xdr:cNvPr id="1849" name="AutoShape 1"/>
        <xdr:cNvSpPr>
          <a:spLocks noChangeAspect="1" noChangeArrowheads="1"/>
        </xdr:cNvSpPr>
      </xdr:nvSpPr>
      <xdr:spPr bwMode="auto">
        <a:xfrm>
          <a:off x="5771072" y="569343"/>
          <a:ext cx="16390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850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851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465826</xdr:colOff>
      <xdr:row>4</xdr:row>
      <xdr:rowOff>241540</xdr:rowOff>
    </xdr:to>
    <xdr:sp macro="" textlink="">
      <xdr:nvSpPr>
        <xdr:cNvPr id="1852" name="AutoShape 1"/>
        <xdr:cNvSpPr>
          <a:spLocks noChangeAspect="1" noChangeArrowheads="1"/>
        </xdr:cNvSpPr>
      </xdr:nvSpPr>
      <xdr:spPr bwMode="auto">
        <a:xfrm>
          <a:off x="5771072" y="569343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560717</xdr:colOff>
      <xdr:row>4</xdr:row>
      <xdr:rowOff>241540</xdr:rowOff>
    </xdr:to>
    <xdr:sp macro="" textlink="">
      <xdr:nvSpPr>
        <xdr:cNvPr id="1853" name="AutoShape 1"/>
        <xdr:cNvSpPr>
          <a:spLocks noChangeAspect="1" noChangeArrowheads="1"/>
        </xdr:cNvSpPr>
      </xdr:nvSpPr>
      <xdr:spPr bwMode="auto">
        <a:xfrm>
          <a:off x="5771072" y="569343"/>
          <a:ext cx="16390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854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483079</xdr:colOff>
      <xdr:row>4</xdr:row>
      <xdr:rowOff>241540</xdr:rowOff>
    </xdr:to>
    <xdr:sp macro="" textlink="">
      <xdr:nvSpPr>
        <xdr:cNvPr id="1855" name="AutoShape 1"/>
        <xdr:cNvSpPr>
          <a:spLocks noChangeAspect="1" noChangeArrowheads="1"/>
        </xdr:cNvSpPr>
      </xdr:nvSpPr>
      <xdr:spPr bwMode="auto">
        <a:xfrm>
          <a:off x="5771072" y="569343"/>
          <a:ext cx="156138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388189</xdr:colOff>
      <xdr:row>4</xdr:row>
      <xdr:rowOff>276045</xdr:rowOff>
    </xdr:to>
    <xdr:sp macro="" textlink="">
      <xdr:nvSpPr>
        <xdr:cNvPr id="1856" name="AutoShape 1"/>
        <xdr:cNvSpPr>
          <a:spLocks noChangeAspect="1" noChangeArrowheads="1"/>
        </xdr:cNvSpPr>
      </xdr:nvSpPr>
      <xdr:spPr bwMode="auto">
        <a:xfrm>
          <a:off x="5771072" y="603849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857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388189</xdr:colOff>
      <xdr:row>4</xdr:row>
      <xdr:rowOff>241540</xdr:rowOff>
    </xdr:to>
    <xdr:sp macro="" textlink="">
      <xdr:nvSpPr>
        <xdr:cNvPr id="1858" name="AutoShape 1"/>
        <xdr:cNvSpPr>
          <a:spLocks noChangeAspect="1" noChangeArrowheads="1"/>
        </xdr:cNvSpPr>
      </xdr:nvSpPr>
      <xdr:spPr bwMode="auto">
        <a:xfrm>
          <a:off x="5771072" y="569343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483079</xdr:colOff>
      <xdr:row>4</xdr:row>
      <xdr:rowOff>241540</xdr:rowOff>
    </xdr:to>
    <xdr:sp macro="" textlink="">
      <xdr:nvSpPr>
        <xdr:cNvPr id="1859" name="AutoShape 1"/>
        <xdr:cNvSpPr>
          <a:spLocks noChangeAspect="1" noChangeArrowheads="1"/>
        </xdr:cNvSpPr>
      </xdr:nvSpPr>
      <xdr:spPr bwMode="auto">
        <a:xfrm>
          <a:off x="5771072" y="569343"/>
          <a:ext cx="1561381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301925</xdr:rowOff>
    </xdr:from>
    <xdr:to>
      <xdr:col>6</xdr:col>
      <xdr:colOff>388189</xdr:colOff>
      <xdr:row>4</xdr:row>
      <xdr:rowOff>284672</xdr:rowOff>
    </xdr:to>
    <xdr:sp macro="" textlink="">
      <xdr:nvSpPr>
        <xdr:cNvPr id="1860" name="AutoShape 1"/>
        <xdr:cNvSpPr>
          <a:spLocks noChangeAspect="1" noChangeArrowheads="1"/>
        </xdr:cNvSpPr>
      </xdr:nvSpPr>
      <xdr:spPr bwMode="auto">
        <a:xfrm>
          <a:off x="5771072" y="612475"/>
          <a:ext cx="146649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560717</xdr:colOff>
      <xdr:row>4</xdr:row>
      <xdr:rowOff>241540</xdr:rowOff>
    </xdr:to>
    <xdr:sp macro="" textlink="">
      <xdr:nvSpPr>
        <xdr:cNvPr id="1861" name="AutoShape 1"/>
        <xdr:cNvSpPr>
          <a:spLocks noChangeAspect="1" noChangeArrowheads="1"/>
        </xdr:cNvSpPr>
      </xdr:nvSpPr>
      <xdr:spPr bwMode="auto">
        <a:xfrm>
          <a:off x="5771072" y="569343"/>
          <a:ext cx="163901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465826</xdr:colOff>
      <xdr:row>4</xdr:row>
      <xdr:rowOff>276045</xdr:rowOff>
    </xdr:to>
    <xdr:sp macro="" textlink="">
      <xdr:nvSpPr>
        <xdr:cNvPr id="1862" name="AutoShape 1"/>
        <xdr:cNvSpPr>
          <a:spLocks noChangeAspect="1" noChangeArrowheads="1"/>
        </xdr:cNvSpPr>
      </xdr:nvSpPr>
      <xdr:spPr bwMode="auto">
        <a:xfrm>
          <a:off x="5771072" y="603849"/>
          <a:ext cx="154412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6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64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6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6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6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6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6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70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2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74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76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7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80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8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82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8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84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8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86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8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8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8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90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9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92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9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94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9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9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89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89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276045</xdr:colOff>
      <xdr:row>4</xdr:row>
      <xdr:rowOff>241540</xdr:rowOff>
    </xdr:to>
    <xdr:sp macro="" textlink="">
      <xdr:nvSpPr>
        <xdr:cNvPr id="1899" name="AutoShape 1"/>
        <xdr:cNvSpPr>
          <a:spLocks noChangeAspect="1" noChangeArrowheads="1"/>
        </xdr:cNvSpPr>
      </xdr:nvSpPr>
      <xdr:spPr bwMode="auto">
        <a:xfrm>
          <a:off x="5771072" y="569343"/>
          <a:ext cx="135434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181155</xdr:colOff>
      <xdr:row>4</xdr:row>
      <xdr:rowOff>276045</xdr:rowOff>
    </xdr:to>
    <xdr:sp macro="" textlink="">
      <xdr:nvSpPr>
        <xdr:cNvPr id="1900" name="AutoShape 1"/>
        <xdr:cNvSpPr>
          <a:spLocks noChangeAspect="1" noChangeArrowheads="1"/>
        </xdr:cNvSpPr>
      </xdr:nvSpPr>
      <xdr:spPr bwMode="auto">
        <a:xfrm>
          <a:off x="5771072" y="603849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181155</xdr:colOff>
      <xdr:row>4</xdr:row>
      <xdr:rowOff>241540</xdr:rowOff>
    </xdr:to>
    <xdr:sp macro="" textlink="">
      <xdr:nvSpPr>
        <xdr:cNvPr id="1901" name="AutoShape 1"/>
        <xdr:cNvSpPr>
          <a:spLocks noChangeAspect="1" noChangeArrowheads="1"/>
        </xdr:cNvSpPr>
      </xdr:nvSpPr>
      <xdr:spPr bwMode="auto">
        <a:xfrm>
          <a:off x="5771072" y="569343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181155</xdr:colOff>
      <xdr:row>4</xdr:row>
      <xdr:rowOff>241540</xdr:rowOff>
    </xdr:to>
    <xdr:sp macro="" textlink="">
      <xdr:nvSpPr>
        <xdr:cNvPr id="1902" name="AutoShape 1"/>
        <xdr:cNvSpPr>
          <a:spLocks noChangeAspect="1" noChangeArrowheads="1"/>
        </xdr:cNvSpPr>
      </xdr:nvSpPr>
      <xdr:spPr bwMode="auto">
        <a:xfrm>
          <a:off x="5771072" y="569343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276045</xdr:colOff>
      <xdr:row>4</xdr:row>
      <xdr:rowOff>241540</xdr:rowOff>
    </xdr:to>
    <xdr:sp macro="" textlink="">
      <xdr:nvSpPr>
        <xdr:cNvPr id="1903" name="AutoShape 1"/>
        <xdr:cNvSpPr>
          <a:spLocks noChangeAspect="1" noChangeArrowheads="1"/>
        </xdr:cNvSpPr>
      </xdr:nvSpPr>
      <xdr:spPr bwMode="auto">
        <a:xfrm>
          <a:off x="5771072" y="569343"/>
          <a:ext cx="135434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181155</xdr:colOff>
      <xdr:row>4</xdr:row>
      <xdr:rowOff>276045</xdr:rowOff>
    </xdr:to>
    <xdr:sp macro="" textlink="">
      <xdr:nvSpPr>
        <xdr:cNvPr id="1904" name="AutoShape 1"/>
        <xdr:cNvSpPr>
          <a:spLocks noChangeAspect="1" noChangeArrowheads="1"/>
        </xdr:cNvSpPr>
      </xdr:nvSpPr>
      <xdr:spPr bwMode="auto">
        <a:xfrm>
          <a:off x="5771072" y="603849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353683</xdr:colOff>
      <xdr:row>4</xdr:row>
      <xdr:rowOff>241540</xdr:rowOff>
    </xdr:to>
    <xdr:sp macro="" textlink="">
      <xdr:nvSpPr>
        <xdr:cNvPr id="1905" name="AutoShape 1"/>
        <xdr:cNvSpPr>
          <a:spLocks noChangeAspect="1" noChangeArrowheads="1"/>
        </xdr:cNvSpPr>
      </xdr:nvSpPr>
      <xdr:spPr bwMode="auto">
        <a:xfrm>
          <a:off x="5771072" y="569343"/>
          <a:ext cx="14319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258792</xdr:colOff>
      <xdr:row>4</xdr:row>
      <xdr:rowOff>276045</xdr:rowOff>
    </xdr:to>
    <xdr:sp macro="" textlink="">
      <xdr:nvSpPr>
        <xdr:cNvPr id="1906" name="AutoShape 1"/>
        <xdr:cNvSpPr>
          <a:spLocks noChangeAspect="1" noChangeArrowheads="1"/>
        </xdr:cNvSpPr>
      </xdr:nvSpPr>
      <xdr:spPr bwMode="auto">
        <a:xfrm>
          <a:off x="5771072" y="603849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258792</xdr:colOff>
      <xdr:row>4</xdr:row>
      <xdr:rowOff>241540</xdr:rowOff>
    </xdr:to>
    <xdr:sp macro="" textlink="">
      <xdr:nvSpPr>
        <xdr:cNvPr id="1907" name="AutoShape 1"/>
        <xdr:cNvSpPr>
          <a:spLocks noChangeAspect="1" noChangeArrowheads="1"/>
        </xdr:cNvSpPr>
      </xdr:nvSpPr>
      <xdr:spPr bwMode="auto">
        <a:xfrm>
          <a:off x="5771072" y="569343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258792</xdr:colOff>
      <xdr:row>4</xdr:row>
      <xdr:rowOff>241540</xdr:rowOff>
    </xdr:to>
    <xdr:sp macro="" textlink="">
      <xdr:nvSpPr>
        <xdr:cNvPr id="1908" name="AutoShape 1"/>
        <xdr:cNvSpPr>
          <a:spLocks noChangeAspect="1" noChangeArrowheads="1"/>
        </xdr:cNvSpPr>
      </xdr:nvSpPr>
      <xdr:spPr bwMode="auto">
        <a:xfrm>
          <a:off x="5771072" y="569343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353683</xdr:colOff>
      <xdr:row>4</xdr:row>
      <xdr:rowOff>241540</xdr:rowOff>
    </xdr:to>
    <xdr:sp macro="" textlink="">
      <xdr:nvSpPr>
        <xdr:cNvPr id="1909" name="AutoShape 1"/>
        <xdr:cNvSpPr>
          <a:spLocks noChangeAspect="1" noChangeArrowheads="1"/>
        </xdr:cNvSpPr>
      </xdr:nvSpPr>
      <xdr:spPr bwMode="auto">
        <a:xfrm>
          <a:off x="5771072" y="569343"/>
          <a:ext cx="14319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258792</xdr:colOff>
      <xdr:row>4</xdr:row>
      <xdr:rowOff>276045</xdr:rowOff>
    </xdr:to>
    <xdr:sp macro="" textlink="">
      <xdr:nvSpPr>
        <xdr:cNvPr id="1910" name="AutoShape 1"/>
        <xdr:cNvSpPr>
          <a:spLocks noChangeAspect="1" noChangeArrowheads="1"/>
        </xdr:cNvSpPr>
      </xdr:nvSpPr>
      <xdr:spPr bwMode="auto">
        <a:xfrm>
          <a:off x="5771072" y="603849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276045</xdr:colOff>
      <xdr:row>4</xdr:row>
      <xdr:rowOff>241540</xdr:rowOff>
    </xdr:to>
    <xdr:sp macro="" textlink="">
      <xdr:nvSpPr>
        <xdr:cNvPr id="1911" name="AutoShape 1"/>
        <xdr:cNvSpPr>
          <a:spLocks noChangeAspect="1" noChangeArrowheads="1"/>
        </xdr:cNvSpPr>
      </xdr:nvSpPr>
      <xdr:spPr bwMode="auto">
        <a:xfrm>
          <a:off x="5771072" y="569343"/>
          <a:ext cx="135434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181155</xdr:colOff>
      <xdr:row>4</xdr:row>
      <xdr:rowOff>276045</xdr:rowOff>
    </xdr:to>
    <xdr:sp macro="" textlink="">
      <xdr:nvSpPr>
        <xdr:cNvPr id="1912" name="AutoShape 1"/>
        <xdr:cNvSpPr>
          <a:spLocks noChangeAspect="1" noChangeArrowheads="1"/>
        </xdr:cNvSpPr>
      </xdr:nvSpPr>
      <xdr:spPr bwMode="auto">
        <a:xfrm>
          <a:off x="5771072" y="603849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181155</xdr:colOff>
      <xdr:row>4</xdr:row>
      <xdr:rowOff>241540</xdr:rowOff>
    </xdr:to>
    <xdr:sp macro="" textlink="">
      <xdr:nvSpPr>
        <xdr:cNvPr id="1913" name="AutoShape 1"/>
        <xdr:cNvSpPr>
          <a:spLocks noChangeAspect="1" noChangeArrowheads="1"/>
        </xdr:cNvSpPr>
      </xdr:nvSpPr>
      <xdr:spPr bwMode="auto">
        <a:xfrm>
          <a:off x="5771072" y="569343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181155</xdr:colOff>
      <xdr:row>4</xdr:row>
      <xdr:rowOff>241540</xdr:rowOff>
    </xdr:to>
    <xdr:sp macro="" textlink="">
      <xdr:nvSpPr>
        <xdr:cNvPr id="1914" name="AutoShape 1"/>
        <xdr:cNvSpPr>
          <a:spLocks noChangeAspect="1" noChangeArrowheads="1"/>
        </xdr:cNvSpPr>
      </xdr:nvSpPr>
      <xdr:spPr bwMode="auto">
        <a:xfrm>
          <a:off x="5771072" y="569343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276045</xdr:colOff>
      <xdr:row>4</xdr:row>
      <xdr:rowOff>241540</xdr:rowOff>
    </xdr:to>
    <xdr:sp macro="" textlink="">
      <xdr:nvSpPr>
        <xdr:cNvPr id="1915" name="AutoShape 1"/>
        <xdr:cNvSpPr>
          <a:spLocks noChangeAspect="1" noChangeArrowheads="1"/>
        </xdr:cNvSpPr>
      </xdr:nvSpPr>
      <xdr:spPr bwMode="auto">
        <a:xfrm>
          <a:off x="5771072" y="569343"/>
          <a:ext cx="135434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181155</xdr:colOff>
      <xdr:row>4</xdr:row>
      <xdr:rowOff>276045</xdr:rowOff>
    </xdr:to>
    <xdr:sp macro="" textlink="">
      <xdr:nvSpPr>
        <xdr:cNvPr id="1916" name="AutoShape 1"/>
        <xdr:cNvSpPr>
          <a:spLocks noChangeAspect="1" noChangeArrowheads="1"/>
        </xdr:cNvSpPr>
      </xdr:nvSpPr>
      <xdr:spPr bwMode="auto">
        <a:xfrm>
          <a:off x="5771072" y="603849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353683</xdr:colOff>
      <xdr:row>4</xdr:row>
      <xdr:rowOff>241540</xdr:rowOff>
    </xdr:to>
    <xdr:sp macro="" textlink="">
      <xdr:nvSpPr>
        <xdr:cNvPr id="1917" name="AutoShape 1"/>
        <xdr:cNvSpPr>
          <a:spLocks noChangeAspect="1" noChangeArrowheads="1"/>
        </xdr:cNvSpPr>
      </xdr:nvSpPr>
      <xdr:spPr bwMode="auto">
        <a:xfrm>
          <a:off x="5771072" y="569343"/>
          <a:ext cx="14319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258792</xdr:colOff>
      <xdr:row>4</xdr:row>
      <xdr:rowOff>276045</xdr:rowOff>
    </xdr:to>
    <xdr:sp macro="" textlink="">
      <xdr:nvSpPr>
        <xdr:cNvPr id="1918" name="AutoShape 1"/>
        <xdr:cNvSpPr>
          <a:spLocks noChangeAspect="1" noChangeArrowheads="1"/>
        </xdr:cNvSpPr>
      </xdr:nvSpPr>
      <xdr:spPr bwMode="auto">
        <a:xfrm>
          <a:off x="5771072" y="603849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258792</xdr:colOff>
      <xdr:row>4</xdr:row>
      <xdr:rowOff>241540</xdr:rowOff>
    </xdr:to>
    <xdr:sp macro="" textlink="">
      <xdr:nvSpPr>
        <xdr:cNvPr id="1919" name="AutoShape 1"/>
        <xdr:cNvSpPr>
          <a:spLocks noChangeAspect="1" noChangeArrowheads="1"/>
        </xdr:cNvSpPr>
      </xdr:nvSpPr>
      <xdr:spPr bwMode="auto">
        <a:xfrm>
          <a:off x="5771072" y="569343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258792</xdr:colOff>
      <xdr:row>4</xdr:row>
      <xdr:rowOff>241540</xdr:rowOff>
    </xdr:to>
    <xdr:sp macro="" textlink="">
      <xdr:nvSpPr>
        <xdr:cNvPr id="1920" name="AutoShape 1"/>
        <xdr:cNvSpPr>
          <a:spLocks noChangeAspect="1" noChangeArrowheads="1"/>
        </xdr:cNvSpPr>
      </xdr:nvSpPr>
      <xdr:spPr bwMode="auto">
        <a:xfrm>
          <a:off x="5771072" y="569343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353683</xdr:colOff>
      <xdr:row>4</xdr:row>
      <xdr:rowOff>241540</xdr:rowOff>
    </xdr:to>
    <xdr:sp macro="" textlink="">
      <xdr:nvSpPr>
        <xdr:cNvPr id="1921" name="AutoShape 1"/>
        <xdr:cNvSpPr>
          <a:spLocks noChangeAspect="1" noChangeArrowheads="1"/>
        </xdr:cNvSpPr>
      </xdr:nvSpPr>
      <xdr:spPr bwMode="auto">
        <a:xfrm>
          <a:off x="5771072" y="569343"/>
          <a:ext cx="14319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258792</xdr:colOff>
      <xdr:row>4</xdr:row>
      <xdr:rowOff>276045</xdr:rowOff>
    </xdr:to>
    <xdr:sp macro="" textlink="">
      <xdr:nvSpPr>
        <xdr:cNvPr id="1922" name="AutoShape 1"/>
        <xdr:cNvSpPr>
          <a:spLocks noChangeAspect="1" noChangeArrowheads="1"/>
        </xdr:cNvSpPr>
      </xdr:nvSpPr>
      <xdr:spPr bwMode="auto">
        <a:xfrm>
          <a:off x="5771072" y="603849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276045</xdr:colOff>
      <xdr:row>4</xdr:row>
      <xdr:rowOff>241540</xdr:rowOff>
    </xdr:to>
    <xdr:sp macro="" textlink="">
      <xdr:nvSpPr>
        <xdr:cNvPr id="1923" name="AutoShape 1"/>
        <xdr:cNvSpPr>
          <a:spLocks noChangeAspect="1" noChangeArrowheads="1"/>
        </xdr:cNvSpPr>
      </xdr:nvSpPr>
      <xdr:spPr bwMode="auto">
        <a:xfrm>
          <a:off x="5771072" y="569343"/>
          <a:ext cx="135434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181155</xdr:colOff>
      <xdr:row>4</xdr:row>
      <xdr:rowOff>276045</xdr:rowOff>
    </xdr:to>
    <xdr:sp macro="" textlink="">
      <xdr:nvSpPr>
        <xdr:cNvPr id="1924" name="AutoShape 1"/>
        <xdr:cNvSpPr>
          <a:spLocks noChangeAspect="1" noChangeArrowheads="1"/>
        </xdr:cNvSpPr>
      </xdr:nvSpPr>
      <xdr:spPr bwMode="auto">
        <a:xfrm>
          <a:off x="5771072" y="603849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181155</xdr:colOff>
      <xdr:row>4</xdr:row>
      <xdr:rowOff>241540</xdr:rowOff>
    </xdr:to>
    <xdr:sp macro="" textlink="">
      <xdr:nvSpPr>
        <xdr:cNvPr id="1925" name="AutoShape 1"/>
        <xdr:cNvSpPr>
          <a:spLocks noChangeAspect="1" noChangeArrowheads="1"/>
        </xdr:cNvSpPr>
      </xdr:nvSpPr>
      <xdr:spPr bwMode="auto">
        <a:xfrm>
          <a:off x="5771072" y="569343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181155</xdr:colOff>
      <xdr:row>4</xdr:row>
      <xdr:rowOff>241540</xdr:rowOff>
    </xdr:to>
    <xdr:sp macro="" textlink="">
      <xdr:nvSpPr>
        <xdr:cNvPr id="1926" name="AutoShape 1"/>
        <xdr:cNvSpPr>
          <a:spLocks noChangeAspect="1" noChangeArrowheads="1"/>
        </xdr:cNvSpPr>
      </xdr:nvSpPr>
      <xdr:spPr bwMode="auto">
        <a:xfrm>
          <a:off x="5771072" y="569343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276045</xdr:colOff>
      <xdr:row>4</xdr:row>
      <xdr:rowOff>241540</xdr:rowOff>
    </xdr:to>
    <xdr:sp macro="" textlink="">
      <xdr:nvSpPr>
        <xdr:cNvPr id="1927" name="AutoShape 1"/>
        <xdr:cNvSpPr>
          <a:spLocks noChangeAspect="1" noChangeArrowheads="1"/>
        </xdr:cNvSpPr>
      </xdr:nvSpPr>
      <xdr:spPr bwMode="auto">
        <a:xfrm>
          <a:off x="5771072" y="569343"/>
          <a:ext cx="1354347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181155</xdr:colOff>
      <xdr:row>4</xdr:row>
      <xdr:rowOff>276045</xdr:rowOff>
    </xdr:to>
    <xdr:sp macro="" textlink="">
      <xdr:nvSpPr>
        <xdr:cNvPr id="1928" name="AutoShape 1"/>
        <xdr:cNvSpPr>
          <a:spLocks noChangeAspect="1" noChangeArrowheads="1"/>
        </xdr:cNvSpPr>
      </xdr:nvSpPr>
      <xdr:spPr bwMode="auto">
        <a:xfrm>
          <a:off x="5771072" y="603849"/>
          <a:ext cx="125945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353683</xdr:colOff>
      <xdr:row>4</xdr:row>
      <xdr:rowOff>241540</xdr:rowOff>
    </xdr:to>
    <xdr:sp macro="" textlink="">
      <xdr:nvSpPr>
        <xdr:cNvPr id="1929" name="AutoShape 1"/>
        <xdr:cNvSpPr>
          <a:spLocks noChangeAspect="1" noChangeArrowheads="1"/>
        </xdr:cNvSpPr>
      </xdr:nvSpPr>
      <xdr:spPr bwMode="auto">
        <a:xfrm>
          <a:off x="5771072" y="569343"/>
          <a:ext cx="143198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258792</xdr:colOff>
      <xdr:row>4</xdr:row>
      <xdr:rowOff>276045</xdr:rowOff>
    </xdr:to>
    <xdr:sp macro="" textlink="">
      <xdr:nvSpPr>
        <xdr:cNvPr id="1930" name="AutoShape 1"/>
        <xdr:cNvSpPr>
          <a:spLocks noChangeAspect="1" noChangeArrowheads="1"/>
        </xdr:cNvSpPr>
      </xdr:nvSpPr>
      <xdr:spPr bwMode="auto">
        <a:xfrm>
          <a:off x="5771072" y="603849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258792</xdr:colOff>
      <xdr:row>4</xdr:row>
      <xdr:rowOff>241540</xdr:rowOff>
    </xdr:to>
    <xdr:sp macro="" textlink="">
      <xdr:nvSpPr>
        <xdr:cNvPr id="1931" name="AutoShape 1"/>
        <xdr:cNvSpPr>
          <a:spLocks noChangeAspect="1" noChangeArrowheads="1"/>
        </xdr:cNvSpPr>
      </xdr:nvSpPr>
      <xdr:spPr bwMode="auto">
        <a:xfrm>
          <a:off x="5771072" y="569343"/>
          <a:ext cx="133709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32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33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34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35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36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37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38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39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0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1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2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43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4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45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6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7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48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49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0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51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2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3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4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55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6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57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8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59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60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61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62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5</xdr:col>
      <xdr:colOff>905774</xdr:colOff>
      <xdr:row>4</xdr:row>
      <xdr:rowOff>276045</xdr:rowOff>
    </xdr:to>
    <xdr:sp macro="" textlink="">
      <xdr:nvSpPr>
        <xdr:cNvPr id="1963" name="AutoShape 1"/>
        <xdr:cNvSpPr>
          <a:spLocks noChangeAspect="1" noChangeArrowheads="1"/>
        </xdr:cNvSpPr>
      </xdr:nvSpPr>
      <xdr:spPr bwMode="auto">
        <a:xfrm>
          <a:off x="5771072" y="603849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64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65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5</xdr:col>
      <xdr:colOff>905774</xdr:colOff>
      <xdr:row>4</xdr:row>
      <xdr:rowOff>241540</xdr:rowOff>
    </xdr:to>
    <xdr:sp macro="" textlink="">
      <xdr:nvSpPr>
        <xdr:cNvPr id="1966" name="AutoShape 1"/>
        <xdr:cNvSpPr>
          <a:spLocks noChangeAspect="1" noChangeArrowheads="1"/>
        </xdr:cNvSpPr>
      </xdr:nvSpPr>
      <xdr:spPr bwMode="auto">
        <a:xfrm>
          <a:off x="5771072" y="569343"/>
          <a:ext cx="90577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6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86264</xdr:colOff>
      <xdr:row>4</xdr:row>
      <xdr:rowOff>276045</xdr:rowOff>
    </xdr:to>
    <xdr:sp macro="" textlink="">
      <xdr:nvSpPr>
        <xdr:cNvPr id="1968" name="AutoShape 1"/>
        <xdr:cNvSpPr>
          <a:spLocks noChangeAspect="1" noChangeArrowheads="1"/>
        </xdr:cNvSpPr>
      </xdr:nvSpPr>
      <xdr:spPr bwMode="auto">
        <a:xfrm>
          <a:off x="5771072" y="603849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86264</xdr:colOff>
      <xdr:row>4</xdr:row>
      <xdr:rowOff>241540</xdr:rowOff>
    </xdr:to>
    <xdr:sp macro="" textlink="">
      <xdr:nvSpPr>
        <xdr:cNvPr id="1969" name="AutoShape 1"/>
        <xdr:cNvSpPr>
          <a:spLocks noChangeAspect="1" noChangeArrowheads="1"/>
        </xdr:cNvSpPr>
      </xdr:nvSpPr>
      <xdr:spPr bwMode="auto">
        <a:xfrm>
          <a:off x="5771072" y="569343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86264</xdr:colOff>
      <xdr:row>4</xdr:row>
      <xdr:rowOff>241540</xdr:rowOff>
    </xdr:to>
    <xdr:sp macro="" textlink="">
      <xdr:nvSpPr>
        <xdr:cNvPr id="1970" name="AutoShape 1"/>
        <xdr:cNvSpPr>
          <a:spLocks noChangeAspect="1" noChangeArrowheads="1"/>
        </xdr:cNvSpPr>
      </xdr:nvSpPr>
      <xdr:spPr bwMode="auto">
        <a:xfrm>
          <a:off x="5771072" y="569343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7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86264</xdr:colOff>
      <xdr:row>4</xdr:row>
      <xdr:rowOff>276045</xdr:rowOff>
    </xdr:to>
    <xdr:sp macro="" textlink="">
      <xdr:nvSpPr>
        <xdr:cNvPr id="1972" name="AutoShape 1"/>
        <xdr:cNvSpPr>
          <a:spLocks noChangeAspect="1" noChangeArrowheads="1"/>
        </xdr:cNvSpPr>
      </xdr:nvSpPr>
      <xdr:spPr bwMode="auto">
        <a:xfrm>
          <a:off x="5771072" y="603849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7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974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7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76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7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97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7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86264</xdr:colOff>
      <xdr:row>4</xdr:row>
      <xdr:rowOff>276045</xdr:rowOff>
    </xdr:to>
    <xdr:sp macro="" textlink="">
      <xdr:nvSpPr>
        <xdr:cNvPr id="1980" name="AutoShape 1"/>
        <xdr:cNvSpPr>
          <a:spLocks noChangeAspect="1" noChangeArrowheads="1"/>
        </xdr:cNvSpPr>
      </xdr:nvSpPr>
      <xdr:spPr bwMode="auto">
        <a:xfrm>
          <a:off x="5771072" y="603849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86264</xdr:colOff>
      <xdr:row>4</xdr:row>
      <xdr:rowOff>241540</xdr:rowOff>
    </xdr:to>
    <xdr:sp macro="" textlink="">
      <xdr:nvSpPr>
        <xdr:cNvPr id="1981" name="AutoShape 1"/>
        <xdr:cNvSpPr>
          <a:spLocks noChangeAspect="1" noChangeArrowheads="1"/>
        </xdr:cNvSpPr>
      </xdr:nvSpPr>
      <xdr:spPr bwMode="auto">
        <a:xfrm>
          <a:off x="5771072" y="569343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86264</xdr:colOff>
      <xdr:row>4</xdr:row>
      <xdr:rowOff>241540</xdr:rowOff>
    </xdr:to>
    <xdr:sp macro="" textlink="">
      <xdr:nvSpPr>
        <xdr:cNvPr id="1982" name="AutoShape 1"/>
        <xdr:cNvSpPr>
          <a:spLocks noChangeAspect="1" noChangeArrowheads="1"/>
        </xdr:cNvSpPr>
      </xdr:nvSpPr>
      <xdr:spPr bwMode="auto">
        <a:xfrm>
          <a:off x="5771072" y="569343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83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86264</xdr:colOff>
      <xdr:row>4</xdr:row>
      <xdr:rowOff>276045</xdr:rowOff>
    </xdr:to>
    <xdr:sp macro="" textlink="">
      <xdr:nvSpPr>
        <xdr:cNvPr id="1984" name="AutoShape 1"/>
        <xdr:cNvSpPr>
          <a:spLocks noChangeAspect="1" noChangeArrowheads="1"/>
        </xdr:cNvSpPr>
      </xdr:nvSpPr>
      <xdr:spPr bwMode="auto">
        <a:xfrm>
          <a:off x="5771072" y="603849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8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986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8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88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8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990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91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86264</xdr:colOff>
      <xdr:row>4</xdr:row>
      <xdr:rowOff>276045</xdr:rowOff>
    </xdr:to>
    <xdr:sp macro="" textlink="">
      <xdr:nvSpPr>
        <xdr:cNvPr id="1992" name="AutoShape 1"/>
        <xdr:cNvSpPr>
          <a:spLocks noChangeAspect="1" noChangeArrowheads="1"/>
        </xdr:cNvSpPr>
      </xdr:nvSpPr>
      <xdr:spPr bwMode="auto">
        <a:xfrm>
          <a:off x="5771072" y="603849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86264</xdr:colOff>
      <xdr:row>4</xdr:row>
      <xdr:rowOff>241540</xdr:rowOff>
    </xdr:to>
    <xdr:sp macro="" textlink="">
      <xdr:nvSpPr>
        <xdr:cNvPr id="1993" name="AutoShape 1"/>
        <xdr:cNvSpPr>
          <a:spLocks noChangeAspect="1" noChangeArrowheads="1"/>
        </xdr:cNvSpPr>
      </xdr:nvSpPr>
      <xdr:spPr bwMode="auto">
        <a:xfrm>
          <a:off x="5771072" y="569343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86264</xdr:colOff>
      <xdr:row>4</xdr:row>
      <xdr:rowOff>241540</xdr:rowOff>
    </xdr:to>
    <xdr:sp macro="" textlink="">
      <xdr:nvSpPr>
        <xdr:cNvPr id="1994" name="AutoShape 1"/>
        <xdr:cNvSpPr>
          <a:spLocks noChangeAspect="1" noChangeArrowheads="1"/>
        </xdr:cNvSpPr>
      </xdr:nvSpPr>
      <xdr:spPr bwMode="auto">
        <a:xfrm>
          <a:off x="5771072" y="569343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95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86264</xdr:colOff>
      <xdr:row>4</xdr:row>
      <xdr:rowOff>276045</xdr:rowOff>
    </xdr:to>
    <xdr:sp macro="" textlink="">
      <xdr:nvSpPr>
        <xdr:cNvPr id="1996" name="AutoShape 1"/>
        <xdr:cNvSpPr>
          <a:spLocks noChangeAspect="1" noChangeArrowheads="1"/>
        </xdr:cNvSpPr>
      </xdr:nvSpPr>
      <xdr:spPr bwMode="auto">
        <a:xfrm>
          <a:off x="5771072" y="603849"/>
          <a:ext cx="1164566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97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293298</xdr:rowOff>
    </xdr:from>
    <xdr:to>
      <xdr:col>6</xdr:col>
      <xdr:colOff>163902</xdr:colOff>
      <xdr:row>4</xdr:row>
      <xdr:rowOff>276045</xdr:rowOff>
    </xdr:to>
    <xdr:sp macro="" textlink="">
      <xdr:nvSpPr>
        <xdr:cNvPr id="1998" name="AutoShape 1"/>
        <xdr:cNvSpPr>
          <a:spLocks noChangeAspect="1" noChangeArrowheads="1"/>
        </xdr:cNvSpPr>
      </xdr:nvSpPr>
      <xdr:spPr bwMode="auto">
        <a:xfrm>
          <a:off x="5771072" y="603849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258792</xdr:rowOff>
    </xdr:from>
    <xdr:to>
      <xdr:col>6</xdr:col>
      <xdr:colOff>163902</xdr:colOff>
      <xdr:row>4</xdr:row>
      <xdr:rowOff>241540</xdr:rowOff>
    </xdr:to>
    <xdr:sp macro="" textlink="">
      <xdr:nvSpPr>
        <xdr:cNvPr id="1999" name="AutoShape 1"/>
        <xdr:cNvSpPr>
          <a:spLocks noChangeAspect="1" noChangeArrowheads="1"/>
        </xdr:cNvSpPr>
      </xdr:nvSpPr>
      <xdr:spPr bwMode="auto">
        <a:xfrm>
          <a:off x="5771072" y="569343"/>
          <a:ext cx="124220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4/2014%20Fluxos/Fluxo%20Caixa%20Diario%20Outubro%20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  <sheetName val="Sistema"/>
      <sheetName val="Abertura Previsao"/>
      <sheetName val="receita_remuneraçã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0"/>
  <sheetViews>
    <sheetView showGridLines="0" tabSelected="1" zoomScale="90" zoomScaleNormal="90" zoomScaleSheetLayoutView="50" workbookViewId="0">
      <pane xSplit="4" ySplit="5" topLeftCell="Y6" activePane="bottomRight" state="frozen"/>
      <selection pane="topRight" activeCell="E1" sqref="E1"/>
      <selection pane="bottomLeft" activeCell="A6" sqref="A6"/>
      <selection pane="bottomRight" activeCell="AB1" sqref="AB1"/>
    </sheetView>
  </sheetViews>
  <sheetFormatPr defaultRowHeight="17"/>
  <cols>
    <col min="1" max="1" width="3.875" style="10" customWidth="1"/>
    <col min="2" max="2" width="7.5" style="2" bestFit="1" customWidth="1"/>
    <col min="3" max="3" width="56.625" style="101" customWidth="1"/>
    <col min="4" max="4" width="15.625" style="96" customWidth="1"/>
    <col min="5" max="5" width="15.625" style="97" hidden="1" customWidth="1"/>
    <col min="6" max="23" width="15.625" style="97" customWidth="1"/>
    <col min="24" max="28" width="15.625" style="18" customWidth="1"/>
    <col min="29" max="16384" width="9" style="97"/>
  </cols>
  <sheetData>
    <row r="1" spans="1:28" s="7" customFormat="1" ht="25" customHeight="1">
      <c r="A1" s="1"/>
      <c r="B1" s="2"/>
      <c r="C1" s="3" t="s">
        <v>0</v>
      </c>
      <c r="D1" s="4" t="s">
        <v>1</v>
      </c>
      <c r="E1" s="4" t="s">
        <v>1</v>
      </c>
      <c r="F1" s="5">
        <v>41913</v>
      </c>
      <c r="G1" s="5">
        <v>41914</v>
      </c>
      <c r="H1" s="5">
        <v>41915</v>
      </c>
      <c r="I1" s="5">
        <v>41918</v>
      </c>
      <c r="J1" s="5">
        <v>41919</v>
      </c>
      <c r="K1" s="5">
        <v>41920</v>
      </c>
      <c r="L1" s="5">
        <v>41921</v>
      </c>
      <c r="M1" s="5">
        <v>41922</v>
      </c>
      <c r="N1" s="5">
        <v>41925</v>
      </c>
      <c r="O1" s="5">
        <v>41926</v>
      </c>
      <c r="P1" s="5">
        <v>41927</v>
      </c>
      <c r="Q1" s="5">
        <v>41928</v>
      </c>
      <c r="R1" s="5">
        <v>41929</v>
      </c>
      <c r="S1" s="5">
        <v>41932</v>
      </c>
      <c r="T1" s="5">
        <v>41933</v>
      </c>
      <c r="U1" s="5">
        <v>41934</v>
      </c>
      <c r="V1" s="5">
        <v>41935</v>
      </c>
      <c r="W1" s="5">
        <v>41936</v>
      </c>
      <c r="X1" s="6">
        <v>41939</v>
      </c>
      <c r="Y1" s="6">
        <v>41940</v>
      </c>
      <c r="Z1" s="6">
        <v>41941</v>
      </c>
      <c r="AA1" s="6">
        <v>41942</v>
      </c>
      <c r="AB1" s="6">
        <v>41943</v>
      </c>
    </row>
    <row r="2" spans="1:28" s="7" customFormat="1" ht="25" customHeight="1">
      <c r="A2" s="1"/>
      <c r="B2" s="2"/>
      <c r="C2" s="8" t="s">
        <v>71</v>
      </c>
      <c r="D2" s="4" t="s">
        <v>2</v>
      </c>
      <c r="E2" s="4" t="s">
        <v>2</v>
      </c>
      <c r="F2" s="5" t="s">
        <v>66</v>
      </c>
      <c r="G2" s="5" t="s">
        <v>67</v>
      </c>
      <c r="H2" s="5" t="s">
        <v>68</v>
      </c>
      <c r="I2" s="5" t="s">
        <v>69</v>
      </c>
      <c r="J2" s="5" t="s">
        <v>70</v>
      </c>
      <c r="K2" s="5" t="s">
        <v>66</v>
      </c>
      <c r="L2" s="5" t="s">
        <v>67</v>
      </c>
      <c r="M2" s="5" t="s">
        <v>68</v>
      </c>
      <c r="N2" s="5" t="s">
        <v>69</v>
      </c>
      <c r="O2" s="5" t="s">
        <v>70</v>
      </c>
      <c r="P2" s="5" t="s">
        <v>66</v>
      </c>
      <c r="Q2" s="5" t="s">
        <v>67</v>
      </c>
      <c r="R2" s="5" t="s">
        <v>68</v>
      </c>
      <c r="S2" s="5" t="s">
        <v>69</v>
      </c>
      <c r="T2" s="5" t="s">
        <v>70</v>
      </c>
      <c r="U2" s="5" t="s">
        <v>66</v>
      </c>
      <c r="V2" s="5" t="s">
        <v>67</v>
      </c>
      <c r="W2" s="5" t="s">
        <v>68</v>
      </c>
      <c r="X2" s="6" t="s">
        <v>69</v>
      </c>
      <c r="Y2" s="6" t="s">
        <v>70</v>
      </c>
      <c r="Z2" s="6" t="s">
        <v>66</v>
      </c>
      <c r="AA2" s="6" t="s">
        <v>67</v>
      </c>
      <c r="AB2" s="6" t="s">
        <v>68</v>
      </c>
    </row>
    <row r="3" spans="1:28" s="12" customFormat="1" ht="25" customHeight="1" thickBot="1">
      <c r="A3" s="9"/>
      <c r="B3" s="2"/>
      <c r="C3" s="10"/>
      <c r="D3" s="4">
        <v>41913</v>
      </c>
      <c r="E3" s="4">
        <v>41883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 t="s">
        <v>3</v>
      </c>
      <c r="L3" s="11" t="s">
        <v>3</v>
      </c>
      <c r="M3" s="11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11" t="s">
        <v>3</v>
      </c>
      <c r="S3" s="11" t="s">
        <v>3</v>
      </c>
      <c r="T3" s="11" t="s">
        <v>3</v>
      </c>
      <c r="U3" s="11" t="s">
        <v>3</v>
      </c>
      <c r="V3" s="11" t="s">
        <v>3</v>
      </c>
      <c r="W3" s="11" t="s">
        <v>3</v>
      </c>
      <c r="X3" s="11" t="s">
        <v>3</v>
      </c>
      <c r="Y3" s="11" t="s">
        <v>3</v>
      </c>
      <c r="Z3" s="11" t="s">
        <v>3</v>
      </c>
      <c r="AA3" s="11" t="s">
        <v>3</v>
      </c>
      <c r="AB3" s="11" t="s">
        <v>3</v>
      </c>
    </row>
    <row r="4" spans="1:28" s="18" customFormat="1" ht="25" customHeight="1">
      <c r="A4" s="13"/>
      <c r="B4" s="2"/>
      <c r="C4" s="14" t="s">
        <v>4</v>
      </c>
      <c r="D4" s="15">
        <f>+E5</f>
        <v>2415047.0780000016</v>
      </c>
      <c r="E4" s="16"/>
      <c r="F4" s="16">
        <f>+E5</f>
        <v>2415047.0780000016</v>
      </c>
      <c r="G4" s="16">
        <f t="shared" ref="G4:AB4" si="0">+F5</f>
        <v>1425340.6980000008</v>
      </c>
      <c r="H4" s="16">
        <f t="shared" si="0"/>
        <v>1561552.9880000008</v>
      </c>
      <c r="I4" s="16">
        <f t="shared" si="0"/>
        <v>1375529.7880000009</v>
      </c>
      <c r="J4" s="16">
        <f t="shared" si="0"/>
        <v>1050430.2880000025</v>
      </c>
      <c r="K4" s="16">
        <f t="shared" si="0"/>
        <v>820901.36800000281</v>
      </c>
      <c r="L4" s="16">
        <f t="shared" si="0"/>
        <v>614837.75800000271</v>
      </c>
      <c r="M4" s="16">
        <f t="shared" si="0"/>
        <v>501269.31800000276</v>
      </c>
      <c r="N4" s="16">
        <f t="shared" si="0"/>
        <v>561323.38800000283</v>
      </c>
      <c r="O4" s="16">
        <f t="shared" si="0"/>
        <v>860398.83800000255</v>
      </c>
      <c r="P4" s="16">
        <f t="shared" si="0"/>
        <v>1703529.6580000026</v>
      </c>
      <c r="Q4" s="16">
        <f t="shared" si="0"/>
        <v>1705771.2080000034</v>
      </c>
      <c r="R4" s="16">
        <f t="shared" si="0"/>
        <v>1619840.6580000035</v>
      </c>
      <c r="S4" s="16">
        <f t="shared" si="0"/>
        <v>2271737.0480000032</v>
      </c>
      <c r="T4" s="16">
        <f t="shared" si="0"/>
        <v>2220498.9980000034</v>
      </c>
      <c r="U4" s="16">
        <f t="shared" si="0"/>
        <v>2240805.1980000031</v>
      </c>
      <c r="V4" s="16">
        <f t="shared" si="0"/>
        <v>2251656.5080000027</v>
      </c>
      <c r="W4" s="16">
        <f t="shared" si="0"/>
        <v>2060944.3480000028</v>
      </c>
      <c r="X4" s="16">
        <f t="shared" si="0"/>
        <v>1997041.1480000028</v>
      </c>
      <c r="Y4" s="16">
        <f t="shared" si="0"/>
        <v>1195977.6480000028</v>
      </c>
      <c r="Z4" s="16">
        <f t="shared" si="0"/>
        <v>1153706.3480000028</v>
      </c>
      <c r="AA4" s="16">
        <f t="shared" si="0"/>
        <v>853359.89800000284</v>
      </c>
      <c r="AB4" s="17">
        <f t="shared" si="0"/>
        <v>1049643.3680000035</v>
      </c>
    </row>
    <row r="5" spans="1:28" s="18" customFormat="1" ht="25" customHeight="1" thickBot="1">
      <c r="A5" s="13"/>
      <c r="B5" s="2"/>
      <c r="C5" s="19" t="s">
        <v>5</v>
      </c>
      <c r="D5" s="20">
        <f>+D4+D11+D36-D38-E36</f>
        <v>1933488.5580000058</v>
      </c>
      <c r="E5" s="20">
        <v>2415047.0780000016</v>
      </c>
      <c r="F5" s="20">
        <f>+F4+F11-F38+F36</f>
        <v>1425340.6980000008</v>
      </c>
      <c r="G5" s="20">
        <f t="shared" ref="G5:AB5" si="1">+G4+G11-G38+G36</f>
        <v>1561552.9880000008</v>
      </c>
      <c r="H5" s="20">
        <f t="shared" si="1"/>
        <v>1375529.7880000009</v>
      </c>
      <c r="I5" s="20">
        <f t="shared" si="1"/>
        <v>1050430.2880000025</v>
      </c>
      <c r="J5" s="20">
        <f t="shared" si="1"/>
        <v>820901.36800000281</v>
      </c>
      <c r="K5" s="20">
        <f t="shared" si="1"/>
        <v>614837.75800000271</v>
      </c>
      <c r="L5" s="20">
        <f>+L4+L11-L38+L36</f>
        <v>501269.31800000276</v>
      </c>
      <c r="M5" s="20">
        <f t="shared" si="1"/>
        <v>561323.38800000283</v>
      </c>
      <c r="N5" s="20">
        <f t="shared" si="1"/>
        <v>860398.83800000255</v>
      </c>
      <c r="O5" s="20">
        <f t="shared" si="1"/>
        <v>1703529.6580000026</v>
      </c>
      <c r="P5" s="20">
        <f t="shared" si="1"/>
        <v>1705771.2080000034</v>
      </c>
      <c r="Q5" s="20">
        <f t="shared" si="1"/>
        <v>1619840.6580000035</v>
      </c>
      <c r="R5" s="20">
        <f t="shared" si="1"/>
        <v>2271737.0480000032</v>
      </c>
      <c r="S5" s="20">
        <f t="shared" si="1"/>
        <v>2220498.9980000034</v>
      </c>
      <c r="T5" s="20">
        <f t="shared" si="1"/>
        <v>2240805.1980000031</v>
      </c>
      <c r="U5" s="20">
        <f t="shared" si="1"/>
        <v>2251656.5080000027</v>
      </c>
      <c r="V5" s="20">
        <f t="shared" si="1"/>
        <v>2060944.3480000028</v>
      </c>
      <c r="W5" s="20">
        <f t="shared" si="1"/>
        <v>1997041.1480000028</v>
      </c>
      <c r="X5" s="20">
        <f t="shared" si="1"/>
        <v>1195977.6480000028</v>
      </c>
      <c r="Y5" s="20">
        <f t="shared" si="1"/>
        <v>1153706.3480000028</v>
      </c>
      <c r="Z5" s="20">
        <f t="shared" si="1"/>
        <v>853359.89800000284</v>
      </c>
      <c r="AA5" s="20">
        <f t="shared" si="1"/>
        <v>1049643.3680000035</v>
      </c>
      <c r="AB5" s="21">
        <f t="shared" si="1"/>
        <v>1933488.558000003</v>
      </c>
    </row>
    <row r="6" spans="1:28" customFormat="1" ht="25" customHeight="1">
      <c r="F6" s="22"/>
      <c r="G6" s="22"/>
      <c r="J6" s="22"/>
      <c r="O6" s="22"/>
      <c r="P6" s="22"/>
      <c r="R6" s="22"/>
      <c r="U6" s="22"/>
      <c r="V6" s="22"/>
      <c r="W6" s="22"/>
      <c r="AA6" s="23"/>
      <c r="AB6" s="24"/>
    </row>
    <row r="7" spans="1:28" s="9" customFormat="1" ht="25" customHeight="1">
      <c r="B7" s="25"/>
      <c r="C7" s="26" t="s">
        <v>6</v>
      </c>
      <c r="D7" s="27">
        <f>+AB7</f>
        <v>859631.92999999993</v>
      </c>
      <c r="E7" s="28"/>
      <c r="F7" s="29">
        <f>96437.01+312741.41</f>
        <v>409178.42</v>
      </c>
      <c r="G7" s="29">
        <f>181155.7+312773.75</f>
        <v>493929.45</v>
      </c>
      <c r="H7" s="29">
        <f>44718.1+212872.05</f>
        <v>257590.15</v>
      </c>
      <c r="I7" s="29">
        <f>54011.81+78.58</f>
        <v>54090.39</v>
      </c>
      <c r="J7" s="29">
        <f>3123.95+145.34</f>
        <v>3269.29</v>
      </c>
      <c r="K7" s="29">
        <f>11173.65+215.35</f>
        <v>11389</v>
      </c>
      <c r="L7" s="29">
        <f>668.23+88.2</f>
        <v>756.43000000000006</v>
      </c>
      <c r="M7" s="29">
        <f>79849.84+256.87</f>
        <v>80106.709999999992</v>
      </c>
      <c r="N7" s="29">
        <f>84002.99+300377.38</f>
        <v>384380.37</v>
      </c>
      <c r="O7" s="29">
        <f>273637.1+50474.61</f>
        <v>324111.70999999996</v>
      </c>
      <c r="P7" s="29">
        <f>47000.88+250548.04</f>
        <v>297548.92</v>
      </c>
      <c r="Q7" s="29">
        <f>35427.12+200623.25</f>
        <v>236050.37</v>
      </c>
      <c r="R7" s="29">
        <f>197534+300798.82</f>
        <v>498332.82</v>
      </c>
      <c r="S7" s="29">
        <f>122381.02+300904.07</f>
        <v>423285.09</v>
      </c>
      <c r="T7" s="29">
        <f>59145.73+351039.17</f>
        <v>410184.89999999997</v>
      </c>
      <c r="U7" s="29">
        <f>70660.43+389470.51</f>
        <v>460130.94</v>
      </c>
      <c r="V7" s="29">
        <f>32647.61+239526.5</f>
        <v>272174.11</v>
      </c>
      <c r="W7" s="29">
        <f>52129.24+119604.49</f>
        <v>171733.73</v>
      </c>
      <c r="X7" s="29">
        <f>23663.62+54.31</f>
        <v>23717.93</v>
      </c>
      <c r="Y7" s="29">
        <f>30568.01+77.35</f>
        <v>30645.359999999997</v>
      </c>
      <c r="Z7" s="29">
        <f>2863.71+25.31</f>
        <v>2889.02</v>
      </c>
      <c r="AA7" s="29">
        <f>13913.14+127.64</f>
        <v>14040.779999999999</v>
      </c>
      <c r="AB7" s="29">
        <f>859447.34+184.59</f>
        <v>859631.92999999993</v>
      </c>
    </row>
    <row r="8" spans="1:28" s="9" customFormat="1" ht="25" customHeight="1">
      <c r="B8" s="25"/>
      <c r="C8" s="26" t="s">
        <v>7</v>
      </c>
      <c r="D8" s="27">
        <f>+AB8</f>
        <v>682519.37</v>
      </c>
      <c r="E8" s="28"/>
      <c r="F8" s="29">
        <f>53453.55+365865.41</f>
        <v>419318.95999999996</v>
      </c>
      <c r="G8" s="29">
        <f>41841.07+465979.92</f>
        <v>507820.99</v>
      </c>
      <c r="H8" s="29">
        <f>41982.39+516122.64</f>
        <v>558105.03</v>
      </c>
      <c r="I8" s="29">
        <f>29709.01+416382.69</f>
        <v>446091.7</v>
      </c>
      <c r="J8" s="29">
        <f>50823.79+216494.72</f>
        <v>267318.51</v>
      </c>
      <c r="K8" s="29">
        <f>27984.1+166518.59</f>
        <v>194502.69</v>
      </c>
      <c r="L8" s="29">
        <f>35244.33+66536.75</f>
        <v>101781.08</v>
      </c>
      <c r="M8" s="29">
        <f>15867.18+66544.9</f>
        <v>82412.079999999987</v>
      </c>
      <c r="N8" s="29">
        <f>15867.18+66561.42</f>
        <v>82428.600000000006</v>
      </c>
      <c r="O8" s="29">
        <f>48585.25+766572.53</f>
        <v>815157.78</v>
      </c>
      <c r="P8" s="29">
        <f>30561.45+866594.52</f>
        <v>897155.97</v>
      </c>
      <c r="Q8" s="29">
        <f>11572.7+866637.07</f>
        <v>878209.7699999999</v>
      </c>
      <c r="R8" s="29">
        <f>57034.87+1216689.85</f>
        <v>1273724.7200000002</v>
      </c>
      <c r="S8" s="29">
        <f>80453.96+1216856.88</f>
        <v>1297310.8399999999</v>
      </c>
      <c r="T8" s="29">
        <f>13572.03+1317003.14</f>
        <v>1330575.17</v>
      </c>
      <c r="U8" s="29">
        <f>57743.31+1267175.03</f>
        <v>1324918.3400000001</v>
      </c>
      <c r="V8" s="29">
        <f>54676.22+1267346.68</f>
        <v>1322022.8999999999</v>
      </c>
      <c r="W8" s="29">
        <f>40836.11+1317570.04</f>
        <v>1358406.1500000001</v>
      </c>
      <c r="X8" s="29">
        <f>55559.88+668033.42</f>
        <v>723593.3</v>
      </c>
      <c r="Y8" s="29">
        <f>19940.19+668164.71</f>
        <v>688104.89999999991</v>
      </c>
      <c r="Z8" s="29">
        <f>20028.69+638294.3</f>
        <v>658322.99</v>
      </c>
      <c r="AA8" s="29">
        <f>30835.93+608433.85</f>
        <v>639269.78</v>
      </c>
      <c r="AB8" s="29">
        <f>73942.79+608576.58</f>
        <v>682519.37</v>
      </c>
    </row>
    <row r="9" spans="1:28" s="9" customFormat="1" ht="25" customHeight="1">
      <c r="B9" s="25"/>
      <c r="C9" s="26" t="s">
        <v>8</v>
      </c>
      <c r="D9" s="27">
        <f>+AB9</f>
        <v>391337.66</v>
      </c>
      <c r="E9" s="28"/>
      <c r="F9" s="29">
        <f>3458.19+593385.08</f>
        <v>596843.2699999999</v>
      </c>
      <c r="G9" s="29">
        <f>16397.86+543404.64</f>
        <v>559802.5</v>
      </c>
      <c r="H9" s="29">
        <f>16397.86+543436.7</f>
        <v>559834.55999999994</v>
      </c>
      <c r="I9" s="29">
        <f>6726.75+543521.4</f>
        <v>550248.15</v>
      </c>
      <c r="J9" s="29">
        <f>16726.75+533586.87</f>
        <v>550313.62</v>
      </c>
      <c r="K9" s="29">
        <f>15294.18+393651.94</f>
        <v>408946.12</v>
      </c>
      <c r="L9" s="29">
        <f>20026.42+378705.44</f>
        <v>398731.86</v>
      </c>
      <c r="M9" s="29">
        <f>20026.42+378778.19</f>
        <v>398804.61</v>
      </c>
      <c r="N9" s="29">
        <f>14672.98+378916.9</f>
        <v>393589.88</v>
      </c>
      <c r="O9" s="29">
        <f>35259.03+529001.04</f>
        <v>564260.07000000007</v>
      </c>
      <c r="P9" s="29">
        <f>31969.23+479096.89</f>
        <v>511066.12</v>
      </c>
      <c r="Q9" s="29">
        <f>26370.1+479210.22</f>
        <v>505580.31999999995</v>
      </c>
      <c r="R9" s="29">
        <f>20370.1+479309.21</f>
        <v>499679.31</v>
      </c>
      <c r="S9" s="29">
        <f>20370.1+479533.16</f>
        <v>499903.25999999995</v>
      </c>
      <c r="T9" s="29">
        <f>10370.1+489675.22</f>
        <v>500045.31999999995</v>
      </c>
      <c r="U9" s="29">
        <f>26760.19+439847.23</f>
        <v>466607.42</v>
      </c>
      <c r="V9" s="29">
        <f>26760.19+439987.34</f>
        <v>466747.53</v>
      </c>
      <c r="W9" s="29">
        <f>11760.19+455141.27</f>
        <v>466901.46</v>
      </c>
      <c r="X9" s="29">
        <f>13214.48+435452.13</f>
        <v>448666.61</v>
      </c>
      <c r="Y9" s="29">
        <f>19310.07+415646.15</f>
        <v>434956.22000000003</v>
      </c>
      <c r="Z9" s="29">
        <f>16339.85+175808.17</f>
        <v>192148.02000000002</v>
      </c>
      <c r="AA9" s="29">
        <f>20475.83+375857.38</f>
        <v>396333.21</v>
      </c>
      <c r="AB9" s="29">
        <f>15429.29+375908.37</f>
        <v>391337.66</v>
      </c>
    </row>
    <row r="10" spans="1:28" s="7" customFormat="1" ht="25" customHeight="1" thickBot="1">
      <c r="A10" s="1"/>
      <c r="B10" s="2"/>
      <c r="C10" s="30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s="18" customFormat="1" ht="25" customHeight="1">
      <c r="A11" s="13"/>
      <c r="B11" s="2"/>
      <c r="C11" s="33" t="s">
        <v>9</v>
      </c>
      <c r="D11" s="34">
        <f>+D12+D13+D14+D33+D34</f>
        <v>46748424.030000001</v>
      </c>
      <c r="E11" s="34">
        <f>SUM(E12:E34)</f>
        <v>0</v>
      </c>
      <c r="F11" s="34">
        <f t="shared" ref="F11:AB11" si="2">+F12+F13+F14+F33+F34</f>
        <v>1439445.6199999994</v>
      </c>
      <c r="G11" s="34">
        <f t="shared" si="2"/>
        <v>224852.08000000002</v>
      </c>
      <c r="H11" s="34">
        <f t="shared" si="2"/>
        <v>113132.26</v>
      </c>
      <c r="I11" s="34">
        <f t="shared" si="2"/>
        <v>11023965.010000002</v>
      </c>
      <c r="J11" s="34">
        <f t="shared" si="2"/>
        <v>1514458.07</v>
      </c>
      <c r="K11" s="34">
        <f t="shared" si="2"/>
        <v>1008485.24</v>
      </c>
      <c r="L11" s="34">
        <f t="shared" si="2"/>
        <v>8716.7999999999993</v>
      </c>
      <c r="M11" s="34">
        <f t="shared" si="2"/>
        <v>1328047.02</v>
      </c>
      <c r="N11" s="34">
        <f t="shared" si="2"/>
        <v>2009107.73</v>
      </c>
      <c r="O11" s="34">
        <f t="shared" si="2"/>
        <v>4110648.65</v>
      </c>
      <c r="P11" s="34">
        <f t="shared" si="2"/>
        <v>2610304.85</v>
      </c>
      <c r="Q11" s="34">
        <f t="shared" si="2"/>
        <v>7987.07</v>
      </c>
      <c r="R11" s="34">
        <f t="shared" si="2"/>
        <v>1573762.26</v>
      </c>
      <c r="S11" s="34">
        <f t="shared" si="2"/>
        <v>6136865.1799999997</v>
      </c>
      <c r="T11" s="34">
        <f t="shared" si="2"/>
        <v>56655.170000000006</v>
      </c>
      <c r="U11" s="34">
        <f t="shared" si="2"/>
        <v>8925.0099999999984</v>
      </c>
      <c r="V11" s="34">
        <f t="shared" si="2"/>
        <v>22693.600000000002</v>
      </c>
      <c r="W11" s="34">
        <f t="shared" si="2"/>
        <v>64161.049999999996</v>
      </c>
      <c r="X11" s="34">
        <f t="shared" si="2"/>
        <v>14239.18</v>
      </c>
      <c r="Y11" s="34">
        <f t="shared" si="2"/>
        <v>12167.74</v>
      </c>
      <c r="Z11" s="34">
        <f t="shared" si="2"/>
        <v>7375.48</v>
      </c>
      <c r="AA11" s="34">
        <f t="shared" si="2"/>
        <v>5796877.7199999997</v>
      </c>
      <c r="AB11" s="35">
        <f t="shared" si="2"/>
        <v>7655551.2400000002</v>
      </c>
    </row>
    <row r="12" spans="1:28" s="39" customFormat="1" ht="25" customHeight="1">
      <c r="A12" s="9"/>
      <c r="B12" s="2">
        <v>810</v>
      </c>
      <c r="C12" s="36" t="s">
        <v>10</v>
      </c>
      <c r="D12" s="37">
        <f>SUM(F12:$AB$12)</f>
        <v>126683.81</v>
      </c>
      <c r="E12" s="29"/>
      <c r="F12" s="29">
        <v>16161.94</v>
      </c>
      <c r="G12" s="29">
        <v>3546.78</v>
      </c>
      <c r="H12" s="29">
        <v>10640.34</v>
      </c>
      <c r="I12" s="29">
        <v>3546.78</v>
      </c>
      <c r="J12" s="29">
        <v>3547</v>
      </c>
      <c r="K12" s="29">
        <v>3432.39</v>
      </c>
      <c r="L12" s="29">
        <v>3432.39</v>
      </c>
      <c r="M12" s="29">
        <v>10297.17</v>
      </c>
      <c r="N12" s="29">
        <v>3432.39</v>
      </c>
      <c r="O12" s="29">
        <v>3432</v>
      </c>
      <c r="P12" s="29">
        <v>3432</v>
      </c>
      <c r="Q12" s="29">
        <v>3432.39</v>
      </c>
      <c r="R12" s="29">
        <v>10297.17</v>
      </c>
      <c r="S12" s="29">
        <v>3432</v>
      </c>
      <c r="T12" s="29">
        <v>3432.39</v>
      </c>
      <c r="U12" s="29">
        <v>3432.39</v>
      </c>
      <c r="V12" s="29">
        <v>3432.39</v>
      </c>
      <c r="W12" s="29">
        <v>10297.17</v>
      </c>
      <c r="X12" s="29">
        <v>3432.39</v>
      </c>
      <c r="Y12" s="29">
        <v>3432.39</v>
      </c>
      <c r="Z12" s="29">
        <v>3432.39</v>
      </c>
      <c r="AA12" s="29">
        <v>3432.39</v>
      </c>
      <c r="AB12" s="38">
        <v>10297.17</v>
      </c>
    </row>
    <row r="13" spans="1:28" s="39" customFormat="1" ht="25" customHeight="1">
      <c r="A13" s="9"/>
      <c r="B13" s="2">
        <v>816</v>
      </c>
      <c r="C13" s="36" t="s">
        <v>11</v>
      </c>
      <c r="D13" s="37">
        <f>SUM(F13:$AB$13)</f>
        <v>2311365.1399999997</v>
      </c>
      <c r="E13" s="29"/>
      <c r="F13" s="29">
        <v>3335.05</v>
      </c>
      <c r="G13" s="29">
        <v>2391</v>
      </c>
      <c r="H13" s="29">
        <v>4003.36</v>
      </c>
      <c r="I13" s="29">
        <v>2337</v>
      </c>
      <c r="J13" s="29">
        <v>6408</v>
      </c>
      <c r="K13" s="29">
        <v>2658</v>
      </c>
      <c r="L13" s="29">
        <v>2397</v>
      </c>
      <c r="M13" s="29">
        <v>2604</v>
      </c>
      <c r="N13" s="29">
        <v>2586</v>
      </c>
      <c r="O13" s="29">
        <v>1882587.41</v>
      </c>
      <c r="P13" s="29">
        <v>3515.58</v>
      </c>
      <c r="Q13" s="29">
        <v>2643</v>
      </c>
      <c r="R13" s="40">
        <v>349617</v>
      </c>
      <c r="S13" s="29">
        <v>2460</v>
      </c>
      <c r="T13" s="29">
        <v>8681.9</v>
      </c>
      <c r="U13" s="29">
        <v>2820</v>
      </c>
      <c r="V13" s="29">
        <v>4066.88</v>
      </c>
      <c r="W13" s="29">
        <v>2670</v>
      </c>
      <c r="X13" s="29">
        <v>8329.630000000001</v>
      </c>
      <c r="Y13" s="29">
        <v>6756</v>
      </c>
      <c r="Z13" s="29">
        <v>3536.33</v>
      </c>
      <c r="AA13" s="29">
        <v>2676</v>
      </c>
      <c r="AB13" s="38">
        <v>2286</v>
      </c>
    </row>
    <row r="14" spans="1:28" s="39" customFormat="1" ht="25" customHeight="1">
      <c r="A14" s="9"/>
      <c r="B14" s="2"/>
      <c r="C14" s="41" t="s">
        <v>12</v>
      </c>
      <c r="D14" s="42">
        <f>SUM(F14:$AB$14)</f>
        <v>3362336.24</v>
      </c>
      <c r="E14" s="43"/>
      <c r="F14" s="43">
        <f>SUM(F15:F32)</f>
        <v>1419948.6299999994</v>
      </c>
      <c r="G14" s="43">
        <f t="shared" ref="G14:AB14" si="3">SUM(G15:G32)</f>
        <v>218914.30000000002</v>
      </c>
      <c r="H14" s="43">
        <f t="shared" si="3"/>
        <v>98488.56</v>
      </c>
      <c r="I14" s="43">
        <f t="shared" si="3"/>
        <v>43633.85</v>
      </c>
      <c r="J14" s="43">
        <f t="shared" si="3"/>
        <v>4503.0700000000006</v>
      </c>
      <c r="K14" s="43">
        <f t="shared" si="3"/>
        <v>2394.8499999999995</v>
      </c>
      <c r="L14" s="43">
        <f t="shared" si="3"/>
        <v>2887.41</v>
      </c>
      <c r="M14" s="43">
        <f t="shared" si="3"/>
        <v>106314.84999999999</v>
      </c>
      <c r="N14" s="43">
        <f t="shared" si="3"/>
        <v>3089.34</v>
      </c>
      <c r="O14" s="43">
        <f t="shared" si="3"/>
        <v>224629.24000000002</v>
      </c>
      <c r="P14" s="43">
        <f t="shared" si="3"/>
        <v>103357.27</v>
      </c>
      <c r="Q14" s="43">
        <f t="shared" si="3"/>
        <v>1911.68</v>
      </c>
      <c r="R14" s="43">
        <f t="shared" si="3"/>
        <v>213848.09</v>
      </c>
      <c r="S14" s="43">
        <f t="shared" si="3"/>
        <v>130973.18000000001</v>
      </c>
      <c r="T14" s="43">
        <f t="shared" si="3"/>
        <v>44540.880000000005</v>
      </c>
      <c r="U14" s="43">
        <f t="shared" si="3"/>
        <v>2672.62</v>
      </c>
      <c r="V14" s="43">
        <f t="shared" si="3"/>
        <v>15194.330000000002</v>
      </c>
      <c r="W14" s="43">
        <f t="shared" si="3"/>
        <v>51193.88</v>
      </c>
      <c r="X14" s="43">
        <f t="shared" si="3"/>
        <v>2477.1600000000003</v>
      </c>
      <c r="Y14" s="43">
        <f t="shared" si="3"/>
        <v>1979.35</v>
      </c>
      <c r="Z14" s="43">
        <f t="shared" si="3"/>
        <v>406.76</v>
      </c>
      <c r="AA14" s="43">
        <f t="shared" si="3"/>
        <v>4976.4099999999989</v>
      </c>
      <c r="AB14" s="44">
        <f t="shared" si="3"/>
        <v>664000.52999999991</v>
      </c>
    </row>
    <row r="15" spans="1:28" s="39" customFormat="1" ht="25" customHeight="1">
      <c r="A15" s="45" t="s">
        <v>13</v>
      </c>
      <c r="B15" s="46">
        <v>804</v>
      </c>
      <c r="C15" s="47" t="s">
        <v>14</v>
      </c>
      <c r="D15" s="48">
        <f>SUM(F15:$AB$15)</f>
        <v>7348.0300000000007</v>
      </c>
      <c r="E15" s="49"/>
      <c r="F15" s="49">
        <v>307.2</v>
      </c>
      <c r="G15" s="49">
        <v>166.41</v>
      </c>
      <c r="H15" s="49">
        <v>273.08</v>
      </c>
      <c r="I15" s="49">
        <v>423.33</v>
      </c>
      <c r="J15" s="49">
        <v>244.26</v>
      </c>
      <c r="K15" s="49">
        <v>158.94999999999999</v>
      </c>
      <c r="L15" s="49">
        <v>159.86000000000001</v>
      </c>
      <c r="M15" s="49">
        <v>249.57</v>
      </c>
      <c r="N15" s="49">
        <v>275.74</v>
      </c>
      <c r="O15" s="49">
        <v>192.48</v>
      </c>
      <c r="P15" s="49">
        <v>191.27</v>
      </c>
      <c r="Q15" s="49">
        <v>231.09</v>
      </c>
      <c r="R15" s="49">
        <v>327.33999999999997</v>
      </c>
      <c r="S15" s="49">
        <v>496.23</v>
      </c>
      <c r="T15" s="49">
        <v>423.42</v>
      </c>
      <c r="U15" s="49">
        <v>465.65</v>
      </c>
      <c r="V15" s="49">
        <v>367.75</v>
      </c>
      <c r="W15" s="49">
        <v>455.28</v>
      </c>
      <c r="X15" s="49">
        <v>809.44</v>
      </c>
      <c r="Y15" s="49">
        <v>348.35</v>
      </c>
      <c r="Z15" s="49">
        <v>316.92</v>
      </c>
      <c r="AA15" s="49">
        <v>291.08999999999997</v>
      </c>
      <c r="AB15" s="50">
        <v>173.32</v>
      </c>
    </row>
    <row r="16" spans="1:28" s="39" customFormat="1" ht="25" customHeight="1">
      <c r="A16" s="45" t="s">
        <v>13</v>
      </c>
      <c r="B16" s="46" t="s">
        <v>15</v>
      </c>
      <c r="C16" s="47" t="s">
        <v>16</v>
      </c>
      <c r="D16" s="48">
        <f>SUM(F16:$AB$16)</f>
        <v>158.25000000000406</v>
      </c>
      <c r="E16" s="49"/>
      <c r="F16" s="49">
        <f>55196.16-42826.15-9597.46-2223.4-295.63-253.52</f>
        <v>2.8137492336099967E-12</v>
      </c>
      <c r="G16" s="49">
        <f>105815.54-45000-57579.91-2523.4-712.23</f>
        <v>-1.0004441719502211E-11</v>
      </c>
      <c r="H16" s="49">
        <f>19897.48-18412.68-1484.8</f>
        <v>0</v>
      </c>
      <c r="I16" s="49">
        <f>43210.52-39817.52-3393</f>
        <v>0</v>
      </c>
      <c r="J16" s="49">
        <f>1154.9-14.3-1038.6-2</f>
        <v>100.00000000000023</v>
      </c>
      <c r="K16" s="49">
        <f>2235.9-2223.4</f>
        <v>12.5</v>
      </c>
      <c r="L16" s="49">
        <f>1626.11-1484.8-25.59-115.72</f>
        <v>0</v>
      </c>
      <c r="M16" s="49">
        <f>74622.28-2515.8-72065.48-41</f>
        <v>0</v>
      </c>
      <c r="N16" s="49">
        <f>2813.6-2808.2-0.9</f>
        <v>4.5000000000000906</v>
      </c>
      <c r="O16" s="49">
        <f>224436.76-592.4-223823.7-20.66</f>
        <v>3.4923175462608924E-12</v>
      </c>
      <c r="P16" s="49">
        <f>1934-1931-1.54-1.46</f>
        <v>0</v>
      </c>
      <c r="Q16" s="49">
        <f>1680.59-22.93-1331-323.66-3</f>
        <v>-1.7053025658242404E-13</v>
      </c>
      <c r="R16" s="49">
        <f>152323.75-130000-17883.81-2369.6-44.56-25.29-0.49-2000</f>
        <v>0</v>
      </c>
      <c r="S16" s="49">
        <f>103598.86-2077.2-20-55742.63-45714.78-3</f>
        <v>41.250000000007276</v>
      </c>
      <c r="T16" s="49">
        <f>4526.46-230.08-2223.4-2062.5-10.48</f>
        <v>1.7763568394002505E-14</v>
      </c>
      <c r="U16" s="49">
        <f>2206.97-2077.2-31.17-98.6</f>
        <v>0</v>
      </c>
      <c r="V16" s="49">
        <f>9951.78-9372.85-446.2-132.73</f>
        <v>3.1263880373444408E-13</v>
      </c>
      <c r="W16" s="49">
        <f>3758.6-3408.2-350.4</f>
        <v>0</v>
      </c>
      <c r="X16" s="49">
        <f>1667.72-1323.4-344.32</f>
        <v>0</v>
      </c>
      <c r="Y16" s="49">
        <f>1631-1631</f>
        <v>0</v>
      </c>
      <c r="Z16" s="49">
        <f>1.34-1.34</f>
        <v>0</v>
      </c>
      <c r="AA16" s="49">
        <f>4824.82-23.4-201-4300.6-299.82</f>
        <v>0</v>
      </c>
      <c r="AB16" s="50">
        <f>617006.21-617006.21</f>
        <v>0</v>
      </c>
    </row>
    <row r="17" spans="1:28" s="39" customFormat="1" ht="25" customHeight="1">
      <c r="A17" s="45" t="s">
        <v>13</v>
      </c>
      <c r="B17" s="46">
        <v>811</v>
      </c>
      <c r="C17" s="47" t="s">
        <v>17</v>
      </c>
      <c r="D17" s="48">
        <f>SUM(F17:$AB$17)</f>
        <v>635418.89</v>
      </c>
      <c r="E17" s="49"/>
      <c r="F17" s="49">
        <v>0</v>
      </c>
      <c r="G17" s="49">
        <v>0</v>
      </c>
      <c r="H17" s="49">
        <v>18412.68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50">
        <v>617006.21</v>
      </c>
    </row>
    <row r="18" spans="1:28" s="39" customFormat="1" ht="25" customHeight="1">
      <c r="A18" s="45" t="s">
        <v>13</v>
      </c>
      <c r="B18" s="46">
        <v>814</v>
      </c>
      <c r="C18" s="47" t="s">
        <v>18</v>
      </c>
      <c r="D18" s="48">
        <f>SUM(F18:$AB$18)</f>
        <v>45714.78</v>
      </c>
      <c r="E18" s="49"/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45714.78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50">
        <v>0</v>
      </c>
    </row>
    <row r="19" spans="1:28" s="39" customFormat="1" ht="25" customHeight="1">
      <c r="A19" s="45" t="s">
        <v>13</v>
      </c>
      <c r="B19" s="46">
        <v>824</v>
      </c>
      <c r="C19" s="47" t="s">
        <v>19</v>
      </c>
      <c r="D19" s="48">
        <f>SUM(F19:$AB$19)</f>
        <v>1364445.2699999998</v>
      </c>
      <c r="E19" s="49"/>
      <c r="F19" s="49">
        <f>870783.69+451288.91+42372.67</f>
        <v>1364445.2699999998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50">
        <v>0</v>
      </c>
    </row>
    <row r="20" spans="1:28" s="39" customFormat="1" ht="25" customHeight="1">
      <c r="A20" s="45" t="s">
        <v>13</v>
      </c>
      <c r="B20" s="46">
        <v>827</v>
      </c>
      <c r="C20" s="47" t="s">
        <v>20</v>
      </c>
      <c r="D20" s="48">
        <f>SUM(F20:$AB$20)</f>
        <v>57701.33</v>
      </c>
      <c r="E20" s="49"/>
      <c r="F20" s="49">
        <v>0</v>
      </c>
      <c r="G20" s="49">
        <v>0</v>
      </c>
      <c r="H20" s="49">
        <v>0</v>
      </c>
      <c r="I20" s="49">
        <v>39817.519999999997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17883.810000000001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50">
        <v>0</v>
      </c>
    </row>
    <row r="21" spans="1:28" s="39" customFormat="1" ht="25" customHeight="1">
      <c r="A21" s="45" t="s">
        <v>13</v>
      </c>
      <c r="B21" s="46">
        <v>830</v>
      </c>
      <c r="C21" s="47" t="s">
        <v>21</v>
      </c>
      <c r="D21" s="48">
        <f>SUM(F21:$AB$21)</f>
        <v>132292.85</v>
      </c>
      <c r="E21" s="49"/>
      <c r="F21" s="49">
        <v>9597.4599999999991</v>
      </c>
      <c r="G21" s="49">
        <v>57579.91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55742.630000000005</v>
      </c>
      <c r="T21" s="49">
        <v>0</v>
      </c>
      <c r="U21" s="49">
        <v>0</v>
      </c>
      <c r="V21" s="49">
        <v>9372.85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50">
        <v>0</v>
      </c>
    </row>
    <row r="22" spans="1:28" s="39" customFormat="1" ht="25" customHeight="1">
      <c r="A22" s="45" t="s">
        <v>13</v>
      </c>
      <c r="B22" s="46">
        <v>817</v>
      </c>
      <c r="C22" s="47" t="s">
        <v>22</v>
      </c>
      <c r="D22" s="48">
        <f>SUM(F22:$AB$22)</f>
        <v>43406.6</v>
      </c>
      <c r="E22" s="49"/>
      <c r="F22" s="49">
        <v>2223.4</v>
      </c>
      <c r="G22" s="49">
        <v>2523.4</v>
      </c>
      <c r="H22" s="49">
        <v>1484.8</v>
      </c>
      <c r="I22" s="49">
        <v>3393</v>
      </c>
      <c r="J22" s="49">
        <v>1038.5999999999999</v>
      </c>
      <c r="K22" s="49">
        <v>2223.3999999999996</v>
      </c>
      <c r="L22" s="49">
        <v>1484.8</v>
      </c>
      <c r="M22" s="49">
        <v>2515.7999999999997</v>
      </c>
      <c r="N22" s="49">
        <v>2808.2</v>
      </c>
      <c r="O22" s="49">
        <v>592.4</v>
      </c>
      <c r="P22" s="49">
        <v>1931</v>
      </c>
      <c r="Q22" s="49">
        <v>1331</v>
      </c>
      <c r="R22" s="49">
        <v>2369.6</v>
      </c>
      <c r="S22" s="49">
        <v>2077.1999999999998</v>
      </c>
      <c r="T22" s="49">
        <v>2223.3999999999996</v>
      </c>
      <c r="U22" s="49">
        <v>2077.1999999999998</v>
      </c>
      <c r="V22" s="49">
        <v>446.2</v>
      </c>
      <c r="W22" s="49">
        <v>3408.2</v>
      </c>
      <c r="X22" s="49">
        <v>1323.4</v>
      </c>
      <c r="Y22" s="49">
        <v>1631</v>
      </c>
      <c r="Z22" s="49">
        <v>0</v>
      </c>
      <c r="AA22" s="49">
        <v>4300.5999999999995</v>
      </c>
      <c r="AB22" s="50">
        <v>0</v>
      </c>
    </row>
    <row r="23" spans="1:28" s="39" customFormat="1" ht="25" customHeight="1">
      <c r="A23" s="45" t="s">
        <v>13</v>
      </c>
      <c r="B23" s="46">
        <v>826</v>
      </c>
      <c r="C23" s="47" t="s">
        <v>23</v>
      </c>
      <c r="D23" s="48">
        <f>SUM(F23:$AB$23)</f>
        <v>338802.68</v>
      </c>
      <c r="E23" s="49"/>
      <c r="F23" s="49">
        <v>42826.15</v>
      </c>
      <c r="G23" s="49">
        <v>87.35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72065.48</v>
      </c>
      <c r="N23" s="49">
        <v>0</v>
      </c>
      <c r="O23" s="49">
        <v>223823.7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50">
        <v>0</v>
      </c>
    </row>
    <row r="24" spans="1:28" s="39" customFormat="1" ht="25" customHeight="1">
      <c r="A24" s="45" t="s">
        <v>13</v>
      </c>
      <c r="B24" s="46" t="s">
        <v>24</v>
      </c>
      <c r="C24" s="47" t="s">
        <v>25</v>
      </c>
      <c r="D24" s="48">
        <f>SUM(F24:$AB$24)</f>
        <v>211919.3</v>
      </c>
      <c r="E24" s="49"/>
      <c r="F24" s="49">
        <v>0</v>
      </c>
      <c r="G24" s="49">
        <v>45000</v>
      </c>
      <c r="H24" s="49">
        <v>0</v>
      </c>
      <c r="I24" s="49">
        <v>0</v>
      </c>
      <c r="J24" s="49">
        <v>3103.91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130000</v>
      </c>
      <c r="S24" s="49">
        <v>26878.09</v>
      </c>
      <c r="T24" s="49">
        <v>2062.5</v>
      </c>
      <c r="U24" s="49">
        <v>0</v>
      </c>
      <c r="V24" s="49">
        <v>4874.8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50">
        <v>0</v>
      </c>
    </row>
    <row r="25" spans="1:28" s="39" customFormat="1" ht="25" customHeight="1">
      <c r="A25" s="45" t="s">
        <v>13</v>
      </c>
      <c r="B25" s="46">
        <v>823</v>
      </c>
      <c r="C25" s="47" t="s">
        <v>26</v>
      </c>
      <c r="D25" s="48">
        <f>SUM(F25:$AB$25)</f>
        <v>518427</v>
      </c>
      <c r="E25" s="49"/>
      <c r="F25" s="49">
        <v>0</v>
      </c>
      <c r="G25" s="49">
        <v>112845</v>
      </c>
      <c r="H25" s="49">
        <v>78318</v>
      </c>
      <c r="I25" s="49">
        <v>0</v>
      </c>
      <c r="J25" s="49">
        <v>0</v>
      </c>
      <c r="K25" s="49">
        <v>0</v>
      </c>
      <c r="L25" s="49">
        <v>0</v>
      </c>
      <c r="M25" s="49">
        <v>31443</v>
      </c>
      <c r="N25" s="49">
        <v>0</v>
      </c>
      <c r="O25" s="49">
        <v>0</v>
      </c>
      <c r="P25" s="49">
        <v>101232</v>
      </c>
      <c r="Q25" s="49">
        <v>0</v>
      </c>
      <c r="R25" s="49">
        <v>61197</v>
      </c>
      <c r="S25" s="49">
        <v>0</v>
      </c>
      <c r="T25" s="49">
        <v>39591</v>
      </c>
      <c r="U25" s="49">
        <v>0</v>
      </c>
      <c r="V25" s="49">
        <v>0</v>
      </c>
      <c r="W25" s="49">
        <v>46980</v>
      </c>
      <c r="X25" s="49">
        <v>0</v>
      </c>
      <c r="Y25" s="49">
        <v>0</v>
      </c>
      <c r="Z25" s="49">
        <v>0</v>
      </c>
      <c r="AA25" s="49">
        <v>0</v>
      </c>
      <c r="AB25" s="50">
        <v>46821</v>
      </c>
    </row>
    <row r="26" spans="1:28" s="39" customFormat="1" ht="25" customHeight="1">
      <c r="A26" s="45" t="s">
        <v>13</v>
      </c>
      <c r="B26" s="46"/>
      <c r="C26" s="47" t="s">
        <v>27</v>
      </c>
      <c r="D26" s="48">
        <f>SUM(F26:$AB$26)</f>
        <v>3287.1700000000005</v>
      </c>
      <c r="E26" s="49"/>
      <c r="F26" s="49">
        <f>295.63+253.52</f>
        <v>549.15</v>
      </c>
      <c r="G26" s="49">
        <v>712.23</v>
      </c>
      <c r="H26" s="49">
        <v>0</v>
      </c>
      <c r="I26" s="49">
        <v>0</v>
      </c>
      <c r="J26" s="49">
        <v>2</v>
      </c>
      <c r="K26" s="49">
        <v>0</v>
      </c>
      <c r="L26" s="49">
        <v>115.72</v>
      </c>
      <c r="M26" s="49">
        <v>41</v>
      </c>
      <c r="N26" s="49">
        <v>0.9</v>
      </c>
      <c r="O26" s="49">
        <v>20.66</v>
      </c>
      <c r="P26" s="49">
        <v>0</v>
      </c>
      <c r="Q26" s="49">
        <v>323.65999999999997</v>
      </c>
      <c r="R26" s="49">
        <v>44.56</v>
      </c>
      <c r="S26" s="49">
        <v>20</v>
      </c>
      <c r="T26" s="49">
        <v>230.07999999999998</v>
      </c>
      <c r="U26" s="49">
        <v>98.6</v>
      </c>
      <c r="V26" s="49">
        <v>132.72999999999999</v>
      </c>
      <c r="W26" s="49">
        <v>350.4</v>
      </c>
      <c r="X26" s="49">
        <v>344.32</v>
      </c>
      <c r="Y26" s="49">
        <v>0</v>
      </c>
      <c r="Z26" s="49">
        <v>1.34</v>
      </c>
      <c r="AA26" s="49">
        <v>299.82</v>
      </c>
      <c r="AB26" s="50">
        <v>0</v>
      </c>
    </row>
    <row r="27" spans="1:28" s="39" customFormat="1" ht="25" customHeight="1">
      <c r="A27" s="45" t="s">
        <v>13</v>
      </c>
      <c r="B27" s="46"/>
      <c r="C27" s="47" t="s">
        <v>28</v>
      </c>
      <c r="D27" s="48">
        <f>SUM(F27:$AB$27)</f>
        <v>133.25</v>
      </c>
      <c r="E27" s="49"/>
      <c r="F27" s="49">
        <v>0</v>
      </c>
      <c r="G27" s="49">
        <v>0</v>
      </c>
      <c r="H27" s="49">
        <v>0</v>
      </c>
      <c r="I27" s="49">
        <v>0</v>
      </c>
      <c r="J27" s="49">
        <v>14.3</v>
      </c>
      <c r="K27" s="49">
        <v>0</v>
      </c>
      <c r="L27" s="49">
        <v>25.59</v>
      </c>
      <c r="M27" s="49">
        <v>0</v>
      </c>
      <c r="N27" s="49">
        <v>0</v>
      </c>
      <c r="O27" s="49">
        <v>0</v>
      </c>
      <c r="P27" s="49">
        <f>1.54+1.46</f>
        <v>3</v>
      </c>
      <c r="Q27" s="49">
        <v>22.93</v>
      </c>
      <c r="R27" s="49">
        <f>25.29+0.49</f>
        <v>25.779999999999998</v>
      </c>
      <c r="S27" s="49">
        <v>0</v>
      </c>
      <c r="T27" s="49">
        <v>10.48</v>
      </c>
      <c r="U27" s="49">
        <v>31.169999999999998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50">
        <v>0</v>
      </c>
    </row>
    <row r="28" spans="1:28" s="39" customFormat="1" ht="25" customHeight="1">
      <c r="A28" s="45" t="s">
        <v>13</v>
      </c>
      <c r="B28" s="46"/>
      <c r="C28" s="47" t="s">
        <v>29</v>
      </c>
      <c r="D28" s="48">
        <f>SUM(F28:$AB$28)</f>
        <v>2000</v>
      </c>
      <c r="E28" s="49"/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2000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50">
        <v>0</v>
      </c>
    </row>
    <row r="29" spans="1:28" s="39" customFormat="1" ht="25" customHeight="1">
      <c r="A29" s="45" t="s">
        <v>13</v>
      </c>
      <c r="B29" s="46"/>
      <c r="C29" s="47" t="s">
        <v>30</v>
      </c>
      <c r="D29" s="48">
        <f>SUM(F29:$AB$29)</f>
        <v>29.4</v>
      </c>
      <c r="E29" s="49"/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3</v>
      </c>
      <c r="R29" s="49">
        <v>0</v>
      </c>
      <c r="S29" s="49">
        <v>3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23.4</v>
      </c>
      <c r="AB29" s="50">
        <v>0</v>
      </c>
    </row>
    <row r="30" spans="1:28" s="39" customFormat="1" ht="25" customHeight="1">
      <c r="A30" s="45" t="s">
        <v>13</v>
      </c>
      <c r="B30" s="46"/>
      <c r="C30" s="47" t="s">
        <v>31</v>
      </c>
      <c r="D30" s="48">
        <f>SUM(F30:$AB$30)</f>
        <v>0</v>
      </c>
      <c r="E30" s="49"/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50">
        <v>0</v>
      </c>
    </row>
    <row r="31" spans="1:28" s="39" customFormat="1" ht="25" customHeight="1">
      <c r="A31" s="45" t="s">
        <v>13</v>
      </c>
      <c r="B31" s="46"/>
      <c r="C31" s="47" t="s">
        <v>32</v>
      </c>
      <c r="D31" s="48">
        <f>SUM(F31:$AB$31)</f>
        <v>6.76</v>
      </c>
      <c r="E31" s="49"/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6.76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50">
        <v>0</v>
      </c>
    </row>
    <row r="32" spans="1:28" s="39" customFormat="1" ht="25" customHeight="1">
      <c r="A32" s="45" t="s">
        <v>13</v>
      </c>
      <c r="B32" s="46"/>
      <c r="C32" s="47" t="s">
        <v>33</v>
      </c>
      <c r="D32" s="48">
        <f>SUM(F32:$AB$32)</f>
        <v>1244.68</v>
      </c>
      <c r="E32" s="49"/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f>1094.68-1094.68</f>
        <v>0</v>
      </c>
      <c r="L32" s="49">
        <f>1094.68</f>
        <v>1094.68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88.5</v>
      </c>
      <c r="AA32" s="49">
        <v>61.5</v>
      </c>
      <c r="AB32" s="50">
        <v>0</v>
      </c>
    </row>
    <row r="33" spans="1:28" s="39" customFormat="1" ht="25" customHeight="1">
      <c r="A33" s="9"/>
      <c r="B33" s="2"/>
      <c r="C33" s="36" t="s">
        <v>34</v>
      </c>
      <c r="D33" s="37">
        <f>SUM(F33:$AB$33)</f>
        <v>4978967.54</v>
      </c>
      <c r="E33" s="29"/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38">
        <v>4978967.54</v>
      </c>
    </row>
    <row r="34" spans="1:28" s="39" customFormat="1" ht="25" customHeight="1" thickBot="1">
      <c r="A34" s="9"/>
      <c r="B34" s="2"/>
      <c r="C34" s="51" t="s">
        <v>35</v>
      </c>
      <c r="D34" s="52">
        <f>SUM(F34:$AB$34)</f>
        <v>35969071.300000004</v>
      </c>
      <c r="E34" s="53"/>
      <c r="F34" s="53">
        <v>0</v>
      </c>
      <c r="G34" s="53">
        <v>0</v>
      </c>
      <c r="H34" s="53">
        <v>0</v>
      </c>
      <c r="I34" s="53">
        <v>10974447.380000001</v>
      </c>
      <c r="J34" s="53">
        <v>1500000</v>
      </c>
      <c r="K34" s="53">
        <v>1000000</v>
      </c>
      <c r="L34" s="53">
        <v>0</v>
      </c>
      <c r="M34" s="53">
        <v>1208831</v>
      </c>
      <c r="N34" s="53">
        <v>2000000</v>
      </c>
      <c r="O34" s="53">
        <v>2000000</v>
      </c>
      <c r="P34" s="53">
        <v>2500000</v>
      </c>
      <c r="Q34" s="53">
        <v>0</v>
      </c>
      <c r="R34" s="53">
        <v>1000000</v>
      </c>
      <c r="S34" s="53">
        <v>6000000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5785792.9199999999</v>
      </c>
      <c r="AB34" s="54">
        <v>2000000</v>
      </c>
    </row>
    <row r="35" spans="1:28" s="60" customFormat="1" ht="25" customHeight="1" thickBot="1">
      <c r="A35" s="55"/>
      <c r="B35" s="56"/>
      <c r="C35" s="57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</row>
    <row r="36" spans="1:28" s="39" customFormat="1" ht="25" customHeight="1" thickBot="1">
      <c r="A36" s="9"/>
      <c r="B36" s="2"/>
      <c r="C36" s="61" t="s">
        <v>36</v>
      </c>
      <c r="D36" s="62">
        <f>+E36+SUM(F36:$AB$36)</f>
        <v>-4899999.68</v>
      </c>
      <c r="E36" s="63">
        <v>-4899999.68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5">
        <v>0</v>
      </c>
    </row>
    <row r="37" spans="1:28" s="18" customFormat="1" ht="25" customHeight="1" thickBot="1">
      <c r="A37" s="13"/>
      <c r="B37" s="2"/>
      <c r="C37" s="66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spans="1:28" s="18" customFormat="1" ht="25" customHeight="1" thickBot="1">
      <c r="A38" s="13"/>
      <c r="B38" s="2"/>
      <c r="C38" s="69" t="s">
        <v>37</v>
      </c>
      <c r="D38" s="70">
        <f>+D40+D44+D47+D51</f>
        <v>47229982.549999997</v>
      </c>
      <c r="E38" s="70"/>
      <c r="F38" s="70">
        <f>+F40+F44+F47+F51</f>
        <v>2429152</v>
      </c>
      <c r="G38" s="70">
        <f t="shared" ref="G38:AB38" si="4">+G40+G44+G47+G51</f>
        <v>88639.79</v>
      </c>
      <c r="H38" s="70">
        <f t="shared" si="4"/>
        <v>299155.46000000002</v>
      </c>
      <c r="I38" s="70">
        <f t="shared" si="4"/>
        <v>11349064.51</v>
      </c>
      <c r="J38" s="70">
        <f t="shared" si="4"/>
        <v>1743986.99</v>
      </c>
      <c r="K38" s="70">
        <f t="shared" si="4"/>
        <v>1214548.8500000001</v>
      </c>
      <c r="L38" s="70">
        <f t="shared" si="4"/>
        <v>122285.24</v>
      </c>
      <c r="M38" s="70">
        <f t="shared" si="4"/>
        <v>1267992.95</v>
      </c>
      <c r="N38" s="70">
        <f t="shared" si="4"/>
        <v>1710032.28</v>
      </c>
      <c r="O38" s="70">
        <f t="shared" si="4"/>
        <v>3267517.83</v>
      </c>
      <c r="P38" s="70">
        <f t="shared" si="4"/>
        <v>2608063.2999999998</v>
      </c>
      <c r="Q38" s="70">
        <f t="shared" si="4"/>
        <v>93917.62</v>
      </c>
      <c r="R38" s="70">
        <f t="shared" si="4"/>
        <v>921865.87</v>
      </c>
      <c r="S38" s="70">
        <f t="shared" si="4"/>
        <v>6188103.2300000004</v>
      </c>
      <c r="T38" s="70">
        <f t="shared" si="4"/>
        <v>36348.97</v>
      </c>
      <c r="U38" s="70">
        <f t="shared" si="4"/>
        <v>-1926.3000000000175</v>
      </c>
      <c r="V38" s="70">
        <f t="shared" si="4"/>
        <v>213405.76</v>
      </c>
      <c r="W38" s="70">
        <f t="shared" si="4"/>
        <v>128064.25</v>
      </c>
      <c r="X38" s="70">
        <f t="shared" si="4"/>
        <v>815302.68</v>
      </c>
      <c r="Y38" s="70">
        <f t="shared" si="4"/>
        <v>54439.039999999994</v>
      </c>
      <c r="Z38" s="70">
        <f t="shared" si="4"/>
        <v>307721.93</v>
      </c>
      <c r="AA38" s="70">
        <f t="shared" si="4"/>
        <v>5600594.2499999991</v>
      </c>
      <c r="AB38" s="71">
        <f t="shared" si="4"/>
        <v>6771706.0499999998</v>
      </c>
    </row>
    <row r="39" spans="1:28" s="7" customFormat="1" ht="25" customHeight="1" thickBot="1">
      <c r="A39" s="1"/>
      <c r="B39" s="2"/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28" s="18" customFormat="1" ht="25" customHeight="1">
      <c r="A40" s="13"/>
      <c r="B40" s="2"/>
      <c r="C40" s="33" t="s">
        <v>38</v>
      </c>
      <c r="D40" s="34">
        <f>SUM(D41:D43)</f>
        <v>18972168.780000001</v>
      </c>
      <c r="E40" s="34"/>
      <c r="F40" s="34">
        <f>SUM(F41:F43)</f>
        <v>1566384.13</v>
      </c>
      <c r="G40" s="34">
        <f t="shared" ref="G40:AB40" si="5">SUM(G41:G43)</f>
        <v>38401.96</v>
      </c>
      <c r="H40" s="34">
        <f t="shared" si="5"/>
        <v>0</v>
      </c>
      <c r="I40" s="34">
        <f t="shared" si="5"/>
        <v>34155.53</v>
      </c>
      <c r="J40" s="34">
        <f t="shared" si="5"/>
        <v>1493563.49</v>
      </c>
      <c r="K40" s="34">
        <f t="shared" si="5"/>
        <v>141432.57</v>
      </c>
      <c r="L40" s="34">
        <f t="shared" si="5"/>
        <v>35708.380000000005</v>
      </c>
      <c r="M40" s="34">
        <f t="shared" si="5"/>
        <v>12732.5</v>
      </c>
      <c r="N40" s="34">
        <f t="shared" si="5"/>
        <v>8341.73</v>
      </c>
      <c r="O40" s="34">
        <f t="shared" si="5"/>
        <v>3256046.56</v>
      </c>
      <c r="P40" s="34">
        <f t="shared" si="5"/>
        <v>2155651.37</v>
      </c>
      <c r="Q40" s="34">
        <f t="shared" si="5"/>
        <v>5701.59</v>
      </c>
      <c r="R40" s="34">
        <f t="shared" si="5"/>
        <v>8442.65</v>
      </c>
      <c r="S40" s="34">
        <f t="shared" si="5"/>
        <v>4308935.08</v>
      </c>
      <c r="T40" s="34">
        <f t="shared" si="5"/>
        <v>0</v>
      </c>
      <c r="U40" s="34">
        <f t="shared" si="5"/>
        <v>33609.910000000003</v>
      </c>
      <c r="V40" s="34">
        <f t="shared" si="5"/>
        <v>0</v>
      </c>
      <c r="W40" s="34">
        <f t="shared" si="5"/>
        <v>0</v>
      </c>
      <c r="X40" s="34">
        <f t="shared" si="5"/>
        <v>45971.9</v>
      </c>
      <c r="Y40" s="34">
        <f t="shared" si="5"/>
        <v>13904.41</v>
      </c>
      <c r="Z40" s="34">
        <f t="shared" si="5"/>
        <v>242970.22</v>
      </c>
      <c r="AA40" s="34">
        <f t="shared" si="5"/>
        <v>5535962.8099999996</v>
      </c>
      <c r="AB40" s="35">
        <f t="shared" si="5"/>
        <v>34251.99</v>
      </c>
    </row>
    <row r="41" spans="1:28" s="39" customFormat="1" ht="25" customHeight="1">
      <c r="A41" s="9"/>
      <c r="B41" s="2">
        <v>311</v>
      </c>
      <c r="C41" s="74" t="s">
        <v>39</v>
      </c>
      <c r="D41" s="75">
        <f>SUM(F41:$AB$41)</f>
        <v>11479733.550000001</v>
      </c>
      <c r="E41" s="76"/>
      <c r="F41" s="76">
        <f>251831.61+9880.82</f>
        <v>261712.43</v>
      </c>
      <c r="G41" s="76">
        <v>37574.43</v>
      </c>
      <c r="H41" s="76">
        <v>0</v>
      </c>
      <c r="I41" s="76">
        <v>16491.11</v>
      </c>
      <c r="J41" s="76">
        <v>0</v>
      </c>
      <c r="K41" s="76">
        <v>114803.37</v>
      </c>
      <c r="L41" s="76">
        <v>10274.52</v>
      </c>
      <c r="M41" s="76">
        <v>0</v>
      </c>
      <c r="N41" s="76">
        <v>8341.73</v>
      </c>
      <c r="O41" s="76">
        <f>3255199.84+807.39</f>
        <v>3256007.23</v>
      </c>
      <c r="P41" s="76">
        <f>53289.8+1943799.25</f>
        <v>1997089.05</v>
      </c>
      <c r="Q41" s="76">
        <f>2959.5+102.46</f>
        <v>3061.96</v>
      </c>
      <c r="R41" s="76">
        <f>6000+2442.65</f>
        <v>8442.65</v>
      </c>
      <c r="S41" s="76">
        <v>2042.78</v>
      </c>
      <c r="T41" s="76">
        <v>0</v>
      </c>
      <c r="U41" s="76">
        <v>33609.910000000003</v>
      </c>
      <c r="V41" s="76">
        <v>0</v>
      </c>
      <c r="W41" s="76">
        <v>0</v>
      </c>
      <c r="X41" s="76">
        <v>44285.71</v>
      </c>
      <c r="Y41" s="76">
        <v>13904.41</v>
      </c>
      <c r="Z41" s="76">
        <v>242524.4</v>
      </c>
      <c r="AA41" s="76">
        <f>3340084+105536+1934076+40244.72</f>
        <v>5419940.7199999997</v>
      </c>
      <c r="AB41" s="77">
        <v>9627.14</v>
      </c>
    </row>
    <row r="42" spans="1:28" s="39" customFormat="1" ht="25" customHeight="1">
      <c r="A42" s="9"/>
      <c r="B42" s="2">
        <v>313</v>
      </c>
      <c r="C42" s="74" t="s">
        <v>40</v>
      </c>
      <c r="D42" s="75">
        <f>SUM(F42:$AB$42)</f>
        <v>46285.48</v>
      </c>
      <c r="E42" s="76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26629.200000000001</v>
      </c>
      <c r="L42" s="76">
        <v>16977.32</v>
      </c>
      <c r="M42" s="76">
        <v>0</v>
      </c>
      <c r="N42" s="76">
        <v>0</v>
      </c>
      <c r="O42" s="76">
        <v>39.33</v>
      </c>
      <c r="P42" s="76">
        <v>0</v>
      </c>
      <c r="Q42" s="76">
        <v>2639.63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7">
        <v>0</v>
      </c>
    </row>
    <row r="43" spans="1:28" s="39" customFormat="1" ht="25" customHeight="1">
      <c r="A43" s="9"/>
      <c r="B43" s="2">
        <v>314</v>
      </c>
      <c r="C43" s="74" t="s">
        <v>41</v>
      </c>
      <c r="D43" s="75">
        <f>SUM(F43:$AB$43)</f>
        <v>7446149.7499999991</v>
      </c>
      <c r="E43" s="76"/>
      <c r="F43" s="76">
        <f>1304991.7-320</f>
        <v>1304671.7</v>
      </c>
      <c r="G43" s="76">
        <v>827.53</v>
      </c>
      <c r="H43" s="76">
        <v>0</v>
      </c>
      <c r="I43" s="76">
        <v>17664.419999999998</v>
      </c>
      <c r="J43" s="76">
        <v>1493563.49</v>
      </c>
      <c r="K43" s="76">
        <v>0</v>
      </c>
      <c r="L43" s="76">
        <v>8456.5400000000009</v>
      </c>
      <c r="M43" s="76">
        <v>12732.5</v>
      </c>
      <c r="N43" s="76">
        <v>0</v>
      </c>
      <c r="O43" s="76">
        <v>0</v>
      </c>
      <c r="P43" s="76">
        <v>158562.32</v>
      </c>
      <c r="Q43" s="76">
        <v>0</v>
      </c>
      <c r="R43" s="76">
        <v>0</v>
      </c>
      <c r="S43" s="76">
        <v>4306892.3</v>
      </c>
      <c r="T43" s="76">
        <v>0</v>
      </c>
      <c r="U43" s="76">
        <v>0</v>
      </c>
      <c r="V43" s="76">
        <v>0</v>
      </c>
      <c r="W43" s="76">
        <v>0</v>
      </c>
      <c r="X43" s="76">
        <v>1686.19</v>
      </c>
      <c r="Y43" s="76">
        <v>0</v>
      </c>
      <c r="Z43" s="76">
        <v>445.82</v>
      </c>
      <c r="AA43" s="76">
        <v>116022.09</v>
      </c>
      <c r="AB43" s="77">
        <v>24624.85</v>
      </c>
    </row>
    <row r="44" spans="1:28" s="18" customFormat="1" ht="25" customHeight="1">
      <c r="A44" s="13"/>
      <c r="B44" s="2"/>
      <c r="C44" s="78" t="s">
        <v>42</v>
      </c>
      <c r="D44" s="79">
        <f>SUM(D45:D46)</f>
        <v>1107854.3799999999</v>
      </c>
      <c r="E44" s="79"/>
      <c r="F44" s="79">
        <f>SUM(F45:F46)</f>
        <v>790344.60000000009</v>
      </c>
      <c r="G44" s="79">
        <f t="shared" ref="G44:AB44" si="6">SUM(G45:G46)</f>
        <v>24457.48</v>
      </c>
      <c r="H44" s="79">
        <f t="shared" si="6"/>
        <v>22857.48</v>
      </c>
      <c r="I44" s="79">
        <f t="shared" si="6"/>
        <v>40764.81</v>
      </c>
      <c r="J44" s="79">
        <f t="shared" si="6"/>
        <v>24421.02</v>
      </c>
      <c r="K44" s="79">
        <f t="shared" si="6"/>
        <v>0</v>
      </c>
      <c r="L44" s="79">
        <f t="shared" si="6"/>
        <v>27938.17</v>
      </c>
      <c r="M44" s="79">
        <f t="shared" si="6"/>
        <v>48874.67</v>
      </c>
      <c r="N44" s="79">
        <f t="shared" si="6"/>
        <v>0</v>
      </c>
      <c r="O44" s="79">
        <f t="shared" si="6"/>
        <v>7685.83</v>
      </c>
      <c r="P44" s="79">
        <f t="shared" si="6"/>
        <v>32801.11</v>
      </c>
      <c r="Q44" s="79">
        <f t="shared" si="6"/>
        <v>15748.75</v>
      </c>
      <c r="R44" s="79">
        <f t="shared" si="6"/>
        <v>53285.990000000005</v>
      </c>
      <c r="S44" s="79">
        <f t="shared" si="6"/>
        <v>105306.58</v>
      </c>
      <c r="T44" s="79">
        <f t="shared" si="6"/>
        <v>12584.71</v>
      </c>
      <c r="U44" s="79">
        <f t="shared" si="6"/>
        <v>-377161.41000000003</v>
      </c>
      <c r="V44" s="79">
        <f t="shared" si="6"/>
        <v>10276.89</v>
      </c>
      <c r="W44" s="79">
        <f t="shared" si="6"/>
        <v>27343.119999999999</v>
      </c>
      <c r="X44" s="79">
        <f t="shared" si="6"/>
        <v>33157.479999999996</v>
      </c>
      <c r="Y44" s="79">
        <f t="shared" si="6"/>
        <v>0</v>
      </c>
      <c r="Z44" s="79">
        <f t="shared" si="6"/>
        <v>55799.229999999996</v>
      </c>
      <c r="AA44" s="79">
        <f t="shared" si="6"/>
        <v>35237.75</v>
      </c>
      <c r="AB44" s="80">
        <f t="shared" si="6"/>
        <v>116130.12</v>
      </c>
    </row>
    <row r="45" spans="1:28" s="39" customFormat="1" ht="25" customHeight="1">
      <c r="A45" s="81" t="s">
        <v>43</v>
      </c>
      <c r="B45" s="2">
        <v>321</v>
      </c>
      <c r="C45" s="36" t="s">
        <v>44</v>
      </c>
      <c r="D45" s="82">
        <f>SUM(F45:$AB$45)</f>
        <v>559841.8899999999</v>
      </c>
      <c r="E45" s="29"/>
      <c r="F45" s="29">
        <v>32337.31</v>
      </c>
      <c r="G45" s="29">
        <v>24457.48</v>
      </c>
      <c r="H45" s="29">
        <v>22857.48</v>
      </c>
      <c r="I45" s="29">
        <v>40764.81</v>
      </c>
      <c r="J45" s="29">
        <f>10421.02+14000</f>
        <v>24421.02</v>
      </c>
      <c r="K45" s="29">
        <v>0</v>
      </c>
      <c r="L45" s="29">
        <v>14971.65</v>
      </c>
      <c r="M45" s="29">
        <v>48874.67</v>
      </c>
      <c r="N45" s="29">
        <f>14000-14000</f>
        <v>0</v>
      </c>
      <c r="O45" s="29">
        <v>7685.83</v>
      </c>
      <c r="P45" s="29">
        <f>32801.11-446.2+446.2</f>
        <v>32801.11</v>
      </c>
      <c r="Q45" s="29">
        <v>14971.65</v>
      </c>
      <c r="R45" s="29">
        <v>48170.19</v>
      </c>
      <c r="S45" s="29">
        <f>32287.64+65000</f>
        <v>97287.64</v>
      </c>
      <c r="T45" s="29">
        <v>6772.93</v>
      </c>
      <c r="U45" s="29">
        <v>10200</v>
      </c>
      <c r="V45" s="29">
        <v>7941.89</v>
      </c>
      <c r="W45" s="29">
        <v>27343.119999999999</v>
      </c>
      <c r="X45" s="29">
        <f>23157.48+10000</f>
        <v>33157.479999999996</v>
      </c>
      <c r="Y45" s="29">
        <v>0</v>
      </c>
      <c r="Z45" s="29">
        <f>21546.08+30568.01+77.35</f>
        <v>52191.439999999995</v>
      </c>
      <c r="AA45" s="29">
        <v>30893.439999999999</v>
      </c>
      <c r="AB45" s="38">
        <f>12386.11-40568.01+10000-77.35</f>
        <v>-18259.25</v>
      </c>
    </row>
    <row r="46" spans="1:28" s="39" customFormat="1" ht="25" customHeight="1">
      <c r="A46" s="9"/>
      <c r="B46" s="2">
        <v>322</v>
      </c>
      <c r="C46" s="36" t="s">
        <v>45</v>
      </c>
      <c r="D46" s="82">
        <f>SUM(F46:$AB$46)</f>
        <v>548012.49</v>
      </c>
      <c r="E46" s="29"/>
      <c r="F46" s="29">
        <f>759007.29-1000</f>
        <v>758007.29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12966.52</v>
      </c>
      <c r="M46" s="29">
        <v>0</v>
      </c>
      <c r="N46" s="29">
        <v>0</v>
      </c>
      <c r="O46" s="29">
        <v>0</v>
      </c>
      <c r="P46" s="29">
        <v>0</v>
      </c>
      <c r="Q46" s="29">
        <v>777.1</v>
      </c>
      <c r="R46" s="29">
        <v>5115.8</v>
      </c>
      <c r="S46" s="29">
        <v>8018.94</v>
      </c>
      <c r="T46" s="29">
        <v>5811.78</v>
      </c>
      <c r="U46" s="29">
        <f>-4371.28-44680.54-338309.59</f>
        <v>-387361.41000000003</v>
      </c>
      <c r="V46" s="29">
        <v>2335</v>
      </c>
      <c r="W46" s="29">
        <v>0</v>
      </c>
      <c r="X46" s="29">
        <v>0</v>
      </c>
      <c r="Y46" s="29">
        <v>0</v>
      </c>
      <c r="Z46" s="29">
        <v>3607.79</v>
      </c>
      <c r="AA46" s="29">
        <v>4344.3100000000004</v>
      </c>
      <c r="AB46" s="38">
        <v>134389.37</v>
      </c>
    </row>
    <row r="47" spans="1:28" s="18" customFormat="1" ht="25" customHeight="1">
      <c r="A47" s="13"/>
      <c r="B47" s="2"/>
      <c r="C47" s="78" t="s">
        <v>46</v>
      </c>
      <c r="D47" s="79">
        <f>SUM(D48:D50)</f>
        <v>18746244.450000003</v>
      </c>
      <c r="E47" s="79"/>
      <c r="F47" s="79">
        <f>SUM(F48:F50)</f>
        <v>55136.28</v>
      </c>
      <c r="G47" s="79">
        <f t="shared" ref="G47:AB47" si="7">SUM(G48:G50)</f>
        <v>6873.93</v>
      </c>
      <c r="H47" s="79">
        <f t="shared" si="7"/>
        <v>247622.42</v>
      </c>
      <c r="I47" s="79">
        <f t="shared" si="7"/>
        <v>10751597.82</v>
      </c>
      <c r="J47" s="79">
        <f t="shared" si="7"/>
        <v>40396.94</v>
      </c>
      <c r="K47" s="79">
        <f t="shared" si="7"/>
        <v>933596.91</v>
      </c>
      <c r="L47" s="79">
        <f t="shared" si="7"/>
        <v>2881.3</v>
      </c>
      <c r="M47" s="79">
        <f t="shared" si="7"/>
        <v>134960.82999999999</v>
      </c>
      <c r="N47" s="79">
        <f t="shared" si="7"/>
        <v>1485882.23</v>
      </c>
      <c r="O47" s="79">
        <f t="shared" si="7"/>
        <v>530</v>
      </c>
      <c r="P47" s="79">
        <f t="shared" si="7"/>
        <v>384506</v>
      </c>
      <c r="Q47" s="79">
        <f t="shared" si="7"/>
        <v>10388.530000000001</v>
      </c>
      <c r="R47" s="79">
        <f t="shared" si="7"/>
        <v>841977.94</v>
      </c>
      <c r="S47" s="79">
        <f t="shared" si="7"/>
        <v>1400429.67</v>
      </c>
      <c r="T47" s="79">
        <f t="shared" si="7"/>
        <v>0</v>
      </c>
      <c r="U47" s="79">
        <f t="shared" si="7"/>
        <v>314446.48</v>
      </c>
      <c r="V47" s="79">
        <f t="shared" si="7"/>
        <v>163950.35999999999</v>
      </c>
      <c r="W47" s="79">
        <f t="shared" si="7"/>
        <v>86460.2</v>
      </c>
      <c r="X47" s="79">
        <f t="shared" si="7"/>
        <v>661010.54</v>
      </c>
      <c r="Y47" s="79">
        <f t="shared" si="7"/>
        <v>1973</v>
      </c>
      <c r="Z47" s="79">
        <f t="shared" si="7"/>
        <v>7950</v>
      </c>
      <c r="AA47" s="79">
        <f t="shared" si="7"/>
        <v>15596.8</v>
      </c>
      <c r="AB47" s="80">
        <f t="shared" si="7"/>
        <v>1198076.27</v>
      </c>
    </row>
    <row r="48" spans="1:28" s="39" customFormat="1" ht="25" customHeight="1">
      <c r="A48" s="9"/>
      <c r="B48" s="2">
        <v>331</v>
      </c>
      <c r="C48" s="74" t="s">
        <v>47</v>
      </c>
      <c r="D48" s="75">
        <f>SUM(F48:$AB$48)</f>
        <v>202522.1399999999</v>
      </c>
      <c r="E48" s="76"/>
      <c r="F48" s="76">
        <v>12890.38</v>
      </c>
      <c r="G48" s="76">
        <f>6873.93-G49</f>
        <v>428.93000000000029</v>
      </c>
      <c r="H48" s="76">
        <v>13174.72</v>
      </c>
      <c r="I48" s="76">
        <v>12103</v>
      </c>
      <c r="J48" s="76">
        <v>6396</v>
      </c>
      <c r="K48" s="76">
        <v>4725</v>
      </c>
      <c r="L48" s="76">
        <v>0</v>
      </c>
      <c r="M48" s="76">
        <f>134960.83-M49-M50</f>
        <v>6049.2699999999895</v>
      </c>
      <c r="N48" s="76">
        <v>0</v>
      </c>
      <c r="O48" s="76">
        <v>0</v>
      </c>
      <c r="P48" s="76">
        <v>2367</v>
      </c>
      <c r="Q48" s="76">
        <v>10388.530000000001</v>
      </c>
      <c r="R48" s="76">
        <f>841977.94-R49</f>
        <v>9544.3199999999488</v>
      </c>
      <c r="S48" s="76">
        <v>35350</v>
      </c>
      <c r="T48" s="76">
        <v>0</v>
      </c>
      <c r="U48" s="76">
        <v>0</v>
      </c>
      <c r="V48" s="76">
        <f>163950.36-V49</f>
        <v>20142.719999999972</v>
      </c>
      <c r="W48" s="76">
        <f>86460.2-45263</f>
        <v>41197.199999999997</v>
      </c>
      <c r="X48" s="76">
        <v>0</v>
      </c>
      <c r="Y48" s="76">
        <v>1973</v>
      </c>
      <c r="Z48" s="76">
        <v>7950</v>
      </c>
      <c r="AA48" s="76">
        <v>15596.8</v>
      </c>
      <c r="AB48" s="77">
        <f>1198076.27-AB49-AB50</f>
        <v>2245.2700000000186</v>
      </c>
    </row>
    <row r="49" spans="1:28" s="39" customFormat="1" ht="25" customHeight="1">
      <c r="A49" s="9"/>
      <c r="B49" s="2">
        <v>332</v>
      </c>
      <c r="C49" s="74" t="s">
        <v>48</v>
      </c>
      <c r="D49" s="75">
        <f>SUM(F49:$AB$49)</f>
        <v>16530785.580000002</v>
      </c>
      <c r="E49" s="76"/>
      <c r="F49" s="76">
        <f>55136.28-F48</f>
        <v>42245.9</v>
      </c>
      <c r="G49" s="76">
        <v>6445</v>
      </c>
      <c r="H49" s="76">
        <f>247622.42-H48</f>
        <v>234447.7</v>
      </c>
      <c r="I49" s="76">
        <f>10751597.82-I48</f>
        <v>10739494.82</v>
      </c>
      <c r="J49" s="76">
        <f>40396.94-J48</f>
        <v>34000.94</v>
      </c>
      <c r="K49" s="76">
        <f>933596.91-K48</f>
        <v>928871.91</v>
      </c>
      <c r="L49" s="76">
        <v>2881.3</v>
      </c>
      <c r="M49" s="76">
        <v>6077.5</v>
      </c>
      <c r="N49" s="76">
        <f>1485882.23-N48</f>
        <v>1485882.23</v>
      </c>
      <c r="O49" s="76">
        <v>530</v>
      </c>
      <c r="P49" s="76">
        <v>380395</v>
      </c>
      <c r="Q49" s="76">
        <v>0</v>
      </c>
      <c r="R49" s="76">
        <v>832433.62</v>
      </c>
      <c r="S49" s="76">
        <v>0</v>
      </c>
      <c r="T49" s="76">
        <v>0</v>
      </c>
      <c r="U49" s="76">
        <v>314446.48</v>
      </c>
      <c r="V49" s="76">
        <v>143807.64000000001</v>
      </c>
      <c r="W49" s="76">
        <v>45263</v>
      </c>
      <c r="X49" s="76">
        <v>661010.54</v>
      </c>
      <c r="Y49" s="76">
        <v>0</v>
      </c>
      <c r="Z49" s="76">
        <v>0</v>
      </c>
      <c r="AA49" s="76">
        <v>0</v>
      </c>
      <c r="AB49" s="77">
        <v>672552</v>
      </c>
    </row>
    <row r="50" spans="1:28" s="39" customFormat="1" ht="25" customHeight="1">
      <c r="A50" s="9"/>
      <c r="B50" s="2">
        <v>333</v>
      </c>
      <c r="C50" s="74" t="s">
        <v>49</v>
      </c>
      <c r="D50" s="75">
        <f>SUM(F50:$AB$50)</f>
        <v>2012936.73</v>
      </c>
      <c r="E50" s="76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122834.06</v>
      </c>
      <c r="N50" s="76">
        <v>0</v>
      </c>
      <c r="O50" s="76">
        <v>0</v>
      </c>
      <c r="P50" s="76">
        <v>1744</v>
      </c>
      <c r="Q50" s="76">
        <v>0</v>
      </c>
      <c r="R50" s="76">
        <v>0</v>
      </c>
      <c r="S50" s="76">
        <f>1400429.67-S48</f>
        <v>1365079.67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7">
        <v>523279</v>
      </c>
    </row>
    <row r="51" spans="1:28" s="18" customFormat="1" ht="25" customHeight="1">
      <c r="A51" s="13"/>
      <c r="B51" s="2"/>
      <c r="C51" s="78" t="s">
        <v>50</v>
      </c>
      <c r="D51" s="79">
        <f>SUM(D52:D56)</f>
        <v>8403714.9399999995</v>
      </c>
      <c r="E51" s="79"/>
      <c r="F51" s="79">
        <f>SUM(F52:F56)</f>
        <v>17286.989999999998</v>
      </c>
      <c r="G51" s="79">
        <f t="shared" ref="G51:AB51" si="8">SUM(G52:G56)</f>
        <v>18906.419999999998</v>
      </c>
      <c r="H51" s="79">
        <f t="shared" si="8"/>
        <v>28675.56</v>
      </c>
      <c r="I51" s="79">
        <f t="shared" si="8"/>
        <v>522546.35</v>
      </c>
      <c r="J51" s="79">
        <f t="shared" si="8"/>
        <v>185605.54</v>
      </c>
      <c r="K51" s="79">
        <f t="shared" si="8"/>
        <v>139519.37</v>
      </c>
      <c r="L51" s="79">
        <f t="shared" si="8"/>
        <v>55757.39</v>
      </c>
      <c r="M51" s="79">
        <f t="shared" si="8"/>
        <v>1071424.95</v>
      </c>
      <c r="N51" s="79">
        <f t="shared" si="8"/>
        <v>215808.32</v>
      </c>
      <c r="O51" s="79">
        <f t="shared" si="8"/>
        <v>3255.44</v>
      </c>
      <c r="P51" s="79">
        <f t="shared" si="8"/>
        <v>35104.82</v>
      </c>
      <c r="Q51" s="79">
        <f t="shared" si="8"/>
        <v>62078.75</v>
      </c>
      <c r="R51" s="79">
        <f t="shared" si="8"/>
        <v>18159.29</v>
      </c>
      <c r="S51" s="79">
        <f t="shared" si="8"/>
        <v>373431.9</v>
      </c>
      <c r="T51" s="79">
        <f t="shared" si="8"/>
        <v>23764.26</v>
      </c>
      <c r="U51" s="79">
        <f t="shared" si="8"/>
        <v>27178.720000000001</v>
      </c>
      <c r="V51" s="79">
        <f t="shared" si="8"/>
        <v>39178.509999999995</v>
      </c>
      <c r="W51" s="79">
        <f t="shared" si="8"/>
        <v>14260.93</v>
      </c>
      <c r="X51" s="79">
        <f t="shared" si="8"/>
        <v>75162.759999999995</v>
      </c>
      <c r="Y51" s="79">
        <f t="shared" si="8"/>
        <v>38561.629999999997</v>
      </c>
      <c r="Z51" s="79">
        <f t="shared" si="8"/>
        <v>1002.48</v>
      </c>
      <c r="AA51" s="79">
        <f t="shared" si="8"/>
        <v>13796.89</v>
      </c>
      <c r="AB51" s="80">
        <f t="shared" si="8"/>
        <v>5423247.6699999999</v>
      </c>
    </row>
    <row r="52" spans="1:28" s="39" customFormat="1" ht="25" customHeight="1">
      <c r="A52" s="9"/>
      <c r="B52" s="2">
        <v>351</v>
      </c>
      <c r="C52" s="36" t="s">
        <v>51</v>
      </c>
      <c r="D52" s="82">
        <f>SUM(F52:$AB$52)</f>
        <v>1526222.76</v>
      </c>
      <c r="E52" s="29"/>
      <c r="F52" s="29">
        <v>15748.7</v>
      </c>
      <c r="G52" s="29">
        <v>17621.439999999999</v>
      </c>
      <c r="H52" s="29">
        <v>9484.32</v>
      </c>
      <c r="I52" s="29">
        <v>212878.68</v>
      </c>
      <c r="J52" s="29">
        <v>177630.6</v>
      </c>
      <c r="K52" s="29">
        <v>131483.84</v>
      </c>
      <c r="L52" s="29">
        <v>53320.94</v>
      </c>
      <c r="M52" s="29">
        <v>56370.74</v>
      </c>
      <c r="N52" s="29">
        <v>214331.92</v>
      </c>
      <c r="O52" s="29">
        <v>0</v>
      </c>
      <c r="P52" s="29">
        <v>30281.040000000001</v>
      </c>
      <c r="Q52" s="29">
        <v>59059.7</v>
      </c>
      <c r="R52" s="29">
        <v>12896.26</v>
      </c>
      <c r="S52" s="29">
        <f>371158.9+79+79</f>
        <v>371316.9</v>
      </c>
      <c r="T52" s="29">
        <v>22923.26</v>
      </c>
      <c r="U52" s="29">
        <v>22982.09</v>
      </c>
      <c r="V52" s="29">
        <v>37477.56</v>
      </c>
      <c r="W52" s="29">
        <v>475.94</v>
      </c>
      <c r="X52" s="29">
        <v>30012.81</v>
      </c>
      <c r="Y52" s="29">
        <v>36283.629999999997</v>
      </c>
      <c r="Z52" s="29">
        <v>102.48</v>
      </c>
      <c r="AA52" s="29">
        <v>13539.91</v>
      </c>
      <c r="AB52" s="38">
        <v>0</v>
      </c>
    </row>
    <row r="53" spans="1:28" s="39" customFormat="1" ht="25" customHeight="1">
      <c r="A53" s="9"/>
      <c r="B53" s="2">
        <v>352</v>
      </c>
      <c r="C53" s="36" t="s">
        <v>52</v>
      </c>
      <c r="D53" s="82">
        <f>SUM(F53:$AB$53)</f>
        <v>5458032.8399999999</v>
      </c>
      <c r="E53" s="29"/>
      <c r="F53" s="29">
        <v>158.96</v>
      </c>
      <c r="G53" s="29">
        <v>79.48</v>
      </c>
      <c r="H53" s="29">
        <v>6809.2</v>
      </c>
      <c r="I53" s="29">
        <v>1006.33</v>
      </c>
      <c r="J53" s="29">
        <v>5</v>
      </c>
      <c r="K53" s="29">
        <v>7572.23</v>
      </c>
      <c r="L53" s="29">
        <v>0</v>
      </c>
      <c r="M53" s="29">
        <v>2347.92</v>
      </c>
      <c r="N53" s="29">
        <f>5+5+5</f>
        <v>15</v>
      </c>
      <c r="O53" s="29">
        <f>238.44+5</f>
        <v>243.44</v>
      </c>
      <c r="P53" s="29">
        <v>3122.58</v>
      </c>
      <c r="Q53" s="29">
        <v>0</v>
      </c>
      <c r="R53" s="29">
        <v>3997.03</v>
      </c>
      <c r="S53" s="29">
        <v>745</v>
      </c>
      <c r="T53" s="29">
        <v>0</v>
      </c>
      <c r="U53" s="29">
        <v>5</v>
      </c>
      <c r="V53" s="29">
        <v>0</v>
      </c>
      <c r="W53" s="29">
        <v>12672.99</v>
      </c>
      <c r="X53" s="29">
        <v>0</v>
      </c>
      <c r="Y53" s="29">
        <v>0</v>
      </c>
      <c r="Z53" s="29">
        <v>0</v>
      </c>
      <c r="AA53" s="29">
        <v>5</v>
      </c>
      <c r="AB53" s="38">
        <v>5419247.6799999997</v>
      </c>
    </row>
    <row r="54" spans="1:28" s="39" customFormat="1" ht="25" customHeight="1">
      <c r="A54" s="9"/>
      <c r="B54" s="2">
        <v>353</v>
      </c>
      <c r="C54" s="36" t="s">
        <v>53</v>
      </c>
      <c r="D54" s="82">
        <f>SUM(F54:$AB$54)</f>
        <v>408195.05</v>
      </c>
      <c r="E54" s="29"/>
      <c r="F54" s="29">
        <f>1057.33+322</f>
        <v>1379.33</v>
      </c>
      <c r="G54" s="29">
        <v>1205.5</v>
      </c>
      <c r="H54" s="29">
        <f>11855.59+526.45</f>
        <v>12382.04</v>
      </c>
      <c r="I54" s="29">
        <f>308387.54+273.8</f>
        <v>308661.33999999997</v>
      </c>
      <c r="J54" s="29">
        <f>6959.94+1010</f>
        <v>7969.94</v>
      </c>
      <c r="K54" s="29">
        <v>463.3</v>
      </c>
      <c r="L54" s="29">
        <v>2436.4499999999998</v>
      </c>
      <c r="M54" s="29">
        <v>1442</v>
      </c>
      <c r="N54" s="29">
        <f>1061.4+400</f>
        <v>1461.4</v>
      </c>
      <c r="O54" s="29">
        <f>1800+1212</f>
        <v>3012</v>
      </c>
      <c r="P54" s="29">
        <f>490.2+1211</f>
        <v>1701.2</v>
      </c>
      <c r="Q54" s="29">
        <f>1863.85+1155.2</f>
        <v>3019.05</v>
      </c>
      <c r="R54" s="29">
        <v>1266</v>
      </c>
      <c r="S54" s="29">
        <f>70+1300</f>
        <v>1370</v>
      </c>
      <c r="T54" s="29">
        <v>841</v>
      </c>
      <c r="U54" s="29">
        <f>2651.08+1540.55</f>
        <v>4191.63</v>
      </c>
      <c r="V54" s="29">
        <v>1700.95</v>
      </c>
      <c r="W54" s="29">
        <v>1112</v>
      </c>
      <c r="X54" s="29">
        <f>43949.95+1200</f>
        <v>45149.95</v>
      </c>
      <c r="Y54" s="29">
        <f>1626+652</f>
        <v>2278</v>
      </c>
      <c r="Z54" s="29">
        <v>900</v>
      </c>
      <c r="AA54" s="29">
        <f>131.98+120</f>
        <v>251.98</v>
      </c>
      <c r="AB54" s="38">
        <v>3999.99</v>
      </c>
    </row>
    <row r="55" spans="1:28" s="39" customFormat="1" ht="25" customHeight="1">
      <c r="A55" s="9"/>
      <c r="B55" s="2">
        <v>360</v>
      </c>
      <c r="C55" s="36" t="s">
        <v>54</v>
      </c>
      <c r="D55" s="82">
        <f>SUM(F55:$AB$55)</f>
        <v>0</v>
      </c>
      <c r="E55" s="29"/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38">
        <v>0</v>
      </c>
    </row>
    <row r="56" spans="1:28" s="39" customFormat="1" ht="25" customHeight="1" thickBot="1">
      <c r="A56" s="9"/>
      <c r="B56" s="2">
        <v>370</v>
      </c>
      <c r="C56" s="51" t="s">
        <v>55</v>
      </c>
      <c r="D56" s="83">
        <f>SUM(F56:$AB$56)</f>
        <v>1011264.29</v>
      </c>
      <c r="E56" s="53"/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1011264.29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4">
        <v>0</v>
      </c>
    </row>
    <row r="57" spans="1:28" s="7" customFormat="1" ht="25" customHeight="1">
      <c r="A57" s="1"/>
      <c r="B57" s="2"/>
      <c r="C57" s="84"/>
      <c r="D57" s="85"/>
    </row>
    <row r="58" spans="1:28" s="7" customFormat="1" ht="25" customHeight="1">
      <c r="A58" s="1"/>
      <c r="B58" s="2"/>
      <c r="C58" s="84"/>
      <c r="D58" s="85"/>
    </row>
    <row r="59" spans="1:28" s="7" customFormat="1" ht="25" customHeight="1">
      <c r="A59" s="1"/>
      <c r="B59" s="2"/>
      <c r="C59" s="3" t="s">
        <v>56</v>
      </c>
      <c r="D59" s="4" t="str">
        <f>+D1</f>
        <v>Total</v>
      </c>
      <c r="E59" s="4" t="str">
        <f t="shared" ref="E59:AB61" si="9">+E1</f>
        <v>Total</v>
      </c>
      <c r="F59" s="5">
        <f t="shared" si="9"/>
        <v>41913</v>
      </c>
      <c r="G59" s="5">
        <f t="shared" si="9"/>
        <v>41914</v>
      </c>
      <c r="H59" s="5">
        <f t="shared" si="9"/>
        <v>41915</v>
      </c>
      <c r="I59" s="5">
        <f t="shared" si="9"/>
        <v>41918</v>
      </c>
      <c r="J59" s="5">
        <f t="shared" si="9"/>
        <v>41919</v>
      </c>
      <c r="K59" s="5">
        <f t="shared" si="9"/>
        <v>41920</v>
      </c>
      <c r="L59" s="5">
        <f t="shared" si="9"/>
        <v>41921</v>
      </c>
      <c r="M59" s="5">
        <f t="shared" si="9"/>
        <v>41922</v>
      </c>
      <c r="N59" s="5">
        <f t="shared" si="9"/>
        <v>41925</v>
      </c>
      <c r="O59" s="5">
        <f t="shared" si="9"/>
        <v>41926</v>
      </c>
      <c r="P59" s="5">
        <f t="shared" si="9"/>
        <v>41927</v>
      </c>
      <c r="Q59" s="5">
        <f t="shared" si="9"/>
        <v>41928</v>
      </c>
      <c r="R59" s="5">
        <f t="shared" si="9"/>
        <v>41929</v>
      </c>
      <c r="S59" s="5">
        <f t="shared" si="9"/>
        <v>41932</v>
      </c>
      <c r="T59" s="5">
        <f t="shared" si="9"/>
        <v>41933</v>
      </c>
      <c r="U59" s="5">
        <f t="shared" si="9"/>
        <v>41934</v>
      </c>
      <c r="V59" s="5">
        <f t="shared" si="9"/>
        <v>41935</v>
      </c>
      <c r="W59" s="5">
        <f t="shared" si="9"/>
        <v>41936</v>
      </c>
      <c r="X59" s="6">
        <f t="shared" si="9"/>
        <v>41939</v>
      </c>
      <c r="Y59" s="6">
        <f t="shared" si="9"/>
        <v>41940</v>
      </c>
      <c r="Z59" s="6">
        <f t="shared" si="9"/>
        <v>41941</v>
      </c>
      <c r="AA59" s="6">
        <f t="shared" si="9"/>
        <v>41942</v>
      </c>
      <c r="AB59" s="6">
        <f t="shared" si="9"/>
        <v>41943</v>
      </c>
    </row>
    <row r="60" spans="1:28" s="7" customFormat="1" ht="25" customHeight="1">
      <c r="A60" s="1"/>
      <c r="B60" s="2"/>
      <c r="C60" s="8" t="str">
        <f>+C2</f>
        <v>OUTUBRO 2014</v>
      </c>
      <c r="D60" s="4" t="str">
        <f>+D2</f>
        <v>Final</v>
      </c>
      <c r="E60" s="4" t="str">
        <f t="shared" si="9"/>
        <v>Final</v>
      </c>
      <c r="F60" s="5" t="str">
        <f>+F2</f>
        <v>qua</v>
      </c>
      <c r="G60" s="5" t="str">
        <f t="shared" si="9"/>
        <v>qui</v>
      </c>
      <c r="H60" s="5" t="str">
        <f t="shared" si="9"/>
        <v>sex</v>
      </c>
      <c r="I60" s="5" t="str">
        <f t="shared" si="9"/>
        <v>seg</v>
      </c>
      <c r="J60" s="5" t="str">
        <f t="shared" si="9"/>
        <v>ter</v>
      </c>
      <c r="K60" s="5" t="str">
        <f t="shared" si="9"/>
        <v>qua</v>
      </c>
      <c r="L60" s="5" t="str">
        <f t="shared" si="9"/>
        <v>qui</v>
      </c>
      <c r="M60" s="5" t="str">
        <f t="shared" si="9"/>
        <v>sex</v>
      </c>
      <c r="N60" s="5" t="str">
        <f t="shared" si="9"/>
        <v>seg</v>
      </c>
      <c r="O60" s="5" t="str">
        <f t="shared" si="9"/>
        <v>ter</v>
      </c>
      <c r="P60" s="5" t="str">
        <f t="shared" si="9"/>
        <v>qua</v>
      </c>
      <c r="Q60" s="5" t="str">
        <f t="shared" si="9"/>
        <v>qui</v>
      </c>
      <c r="R60" s="5" t="str">
        <f t="shared" si="9"/>
        <v>sex</v>
      </c>
      <c r="S60" s="5" t="str">
        <f t="shared" si="9"/>
        <v>seg</v>
      </c>
      <c r="T60" s="5" t="str">
        <f t="shared" si="9"/>
        <v>ter</v>
      </c>
      <c r="U60" s="5" t="str">
        <f t="shared" si="9"/>
        <v>qua</v>
      </c>
      <c r="V60" s="5" t="str">
        <f t="shared" si="9"/>
        <v>qui</v>
      </c>
      <c r="W60" s="5" t="str">
        <f t="shared" si="9"/>
        <v>sex</v>
      </c>
      <c r="X60" s="6" t="str">
        <f t="shared" si="9"/>
        <v>seg</v>
      </c>
      <c r="Y60" s="6" t="str">
        <f t="shared" si="9"/>
        <v>ter</v>
      </c>
      <c r="Z60" s="6" t="str">
        <f t="shared" si="9"/>
        <v>qua</v>
      </c>
      <c r="AA60" s="6" t="str">
        <f t="shared" si="9"/>
        <v>qui</v>
      </c>
      <c r="AB60" s="6" t="str">
        <f t="shared" si="9"/>
        <v>sex</v>
      </c>
    </row>
    <row r="61" spans="1:28" s="12" customFormat="1" ht="25" customHeight="1" thickBot="1">
      <c r="A61" s="9"/>
      <c r="B61" s="2"/>
      <c r="C61" s="10"/>
      <c r="D61" s="4">
        <f>+D3</f>
        <v>41913</v>
      </c>
      <c r="E61" s="4">
        <f t="shared" si="9"/>
        <v>41883</v>
      </c>
      <c r="F61" s="11" t="str">
        <f t="shared" si="9"/>
        <v>REAL</v>
      </c>
      <c r="G61" s="11" t="str">
        <f t="shared" si="9"/>
        <v>REAL</v>
      </c>
      <c r="H61" s="11" t="str">
        <f t="shared" si="9"/>
        <v>REAL</v>
      </c>
      <c r="I61" s="11" t="str">
        <f t="shared" si="9"/>
        <v>REAL</v>
      </c>
      <c r="J61" s="11" t="str">
        <f t="shared" si="9"/>
        <v>REAL</v>
      </c>
      <c r="K61" s="11" t="str">
        <f t="shared" si="9"/>
        <v>REAL</v>
      </c>
      <c r="L61" s="11" t="str">
        <f t="shared" si="9"/>
        <v>REAL</v>
      </c>
      <c r="M61" s="11" t="str">
        <f t="shared" si="9"/>
        <v>REAL</v>
      </c>
      <c r="N61" s="11" t="str">
        <f t="shared" si="9"/>
        <v>REAL</v>
      </c>
      <c r="O61" s="11" t="str">
        <f t="shared" si="9"/>
        <v>REAL</v>
      </c>
      <c r="P61" s="11" t="str">
        <f t="shared" si="9"/>
        <v>REAL</v>
      </c>
      <c r="Q61" s="11" t="str">
        <f t="shared" si="9"/>
        <v>REAL</v>
      </c>
      <c r="R61" s="11" t="str">
        <f t="shared" si="9"/>
        <v>REAL</v>
      </c>
      <c r="S61" s="11" t="str">
        <f t="shared" si="9"/>
        <v>REAL</v>
      </c>
      <c r="T61" s="11" t="str">
        <f t="shared" si="9"/>
        <v>REAL</v>
      </c>
      <c r="U61" s="11" t="str">
        <f t="shared" si="9"/>
        <v>REAL</v>
      </c>
      <c r="V61" s="11" t="str">
        <f t="shared" si="9"/>
        <v>REAL</v>
      </c>
      <c r="W61" s="11" t="str">
        <f t="shared" si="9"/>
        <v>REAL</v>
      </c>
      <c r="X61" s="11" t="str">
        <f t="shared" si="9"/>
        <v>REAL</v>
      </c>
      <c r="Y61" s="11" t="str">
        <f t="shared" si="9"/>
        <v>REAL</v>
      </c>
      <c r="Z61" s="11" t="str">
        <f t="shared" si="9"/>
        <v>REAL</v>
      </c>
      <c r="AA61" s="11" t="str">
        <f t="shared" si="9"/>
        <v>REAL</v>
      </c>
      <c r="AB61" s="11" t="str">
        <f t="shared" si="9"/>
        <v>REAL</v>
      </c>
    </row>
    <row r="62" spans="1:28" s="18" customFormat="1" ht="25" customHeight="1">
      <c r="A62" s="13"/>
      <c r="B62" s="2"/>
      <c r="C62" s="14" t="s">
        <v>57</v>
      </c>
      <c r="D62" s="15">
        <f>+E63</f>
        <v>299223.83999999985</v>
      </c>
      <c r="E62" s="16"/>
      <c r="F62" s="16">
        <f>+E63</f>
        <v>299223.83999999985</v>
      </c>
      <c r="G62" s="16">
        <f t="shared" ref="G62:AB62" si="10">+F63</f>
        <v>299259.96999999986</v>
      </c>
      <c r="H62" s="16">
        <f t="shared" si="10"/>
        <v>295129.24999999983</v>
      </c>
      <c r="I62" s="16">
        <f t="shared" si="10"/>
        <v>295813.3499999998</v>
      </c>
      <c r="J62" s="16">
        <f t="shared" si="10"/>
        <v>296088.30999999982</v>
      </c>
      <c r="K62" s="16">
        <f t="shared" si="10"/>
        <v>280725.81999999983</v>
      </c>
      <c r="L62" s="16">
        <f t="shared" si="10"/>
        <v>280772.11999999982</v>
      </c>
      <c r="M62" s="16">
        <f t="shared" si="10"/>
        <v>276291.25999999983</v>
      </c>
      <c r="N62" s="16">
        <f t="shared" si="10"/>
        <v>276350.70999999985</v>
      </c>
      <c r="O62" s="16">
        <f t="shared" si="10"/>
        <v>276449.20999999985</v>
      </c>
      <c r="P62" s="16">
        <f t="shared" si="10"/>
        <v>276517.02999999985</v>
      </c>
      <c r="Q62" s="16">
        <f t="shared" si="10"/>
        <v>276597.65999999986</v>
      </c>
      <c r="R62" s="16">
        <f t="shared" si="10"/>
        <v>276685.10999999987</v>
      </c>
      <c r="S62" s="16">
        <f t="shared" si="10"/>
        <v>276763.51999999984</v>
      </c>
      <c r="T62" s="16">
        <f t="shared" si="10"/>
        <v>133667.05999999985</v>
      </c>
      <c r="U62" s="16">
        <f t="shared" si="10"/>
        <v>133717.06999999986</v>
      </c>
      <c r="V62" s="16">
        <f t="shared" si="10"/>
        <v>133767.45999999988</v>
      </c>
      <c r="W62" s="16">
        <f t="shared" si="10"/>
        <v>133817.79999999987</v>
      </c>
      <c r="X62" s="16">
        <f t="shared" si="10"/>
        <v>133877.06999999986</v>
      </c>
      <c r="Y62" s="16">
        <f t="shared" si="10"/>
        <v>133985.51999999987</v>
      </c>
      <c r="Z62" s="16">
        <f t="shared" si="10"/>
        <v>134051.05999999988</v>
      </c>
      <c r="AA62" s="16">
        <f t="shared" si="10"/>
        <v>134112.72999999989</v>
      </c>
      <c r="AB62" s="17">
        <f t="shared" si="10"/>
        <v>332684.28000000026</v>
      </c>
    </row>
    <row r="63" spans="1:28" s="18" customFormat="1" ht="25" customHeight="1" thickBot="1">
      <c r="A63" s="13"/>
      <c r="B63" s="2"/>
      <c r="C63" s="19" t="s">
        <v>58</v>
      </c>
      <c r="D63" s="20">
        <f>+D62+D65-D69</f>
        <v>328644.96000000043</v>
      </c>
      <c r="E63" s="20">
        <v>299223.83999999985</v>
      </c>
      <c r="F63" s="20">
        <f>+F62+F65-F69</f>
        <v>299259.96999999986</v>
      </c>
      <c r="G63" s="20">
        <f t="shared" ref="G63:AB63" si="11">+G62+G65-G69</f>
        <v>295129.24999999983</v>
      </c>
      <c r="H63" s="20">
        <f t="shared" si="11"/>
        <v>295813.3499999998</v>
      </c>
      <c r="I63" s="20">
        <f t="shared" si="11"/>
        <v>296088.30999999982</v>
      </c>
      <c r="J63" s="20">
        <f t="shared" si="11"/>
        <v>280725.81999999983</v>
      </c>
      <c r="K63" s="20">
        <f t="shared" si="11"/>
        <v>280772.11999999982</v>
      </c>
      <c r="L63" s="20">
        <f t="shared" si="11"/>
        <v>276291.25999999983</v>
      </c>
      <c r="M63" s="20">
        <f t="shared" si="11"/>
        <v>276350.70999999985</v>
      </c>
      <c r="N63" s="20">
        <f t="shared" si="11"/>
        <v>276449.20999999985</v>
      </c>
      <c r="O63" s="20">
        <f t="shared" si="11"/>
        <v>276517.02999999985</v>
      </c>
      <c r="P63" s="20">
        <f t="shared" si="11"/>
        <v>276597.65999999986</v>
      </c>
      <c r="Q63" s="20">
        <f t="shared" si="11"/>
        <v>276685.10999999987</v>
      </c>
      <c r="R63" s="20">
        <f t="shared" si="11"/>
        <v>276763.51999999984</v>
      </c>
      <c r="S63" s="20">
        <f t="shared" si="11"/>
        <v>133667.05999999985</v>
      </c>
      <c r="T63" s="20">
        <f t="shared" si="11"/>
        <v>133717.06999999986</v>
      </c>
      <c r="U63" s="20">
        <f t="shared" si="11"/>
        <v>133767.45999999988</v>
      </c>
      <c r="V63" s="20">
        <f t="shared" si="11"/>
        <v>133817.79999999987</v>
      </c>
      <c r="W63" s="20">
        <f t="shared" si="11"/>
        <v>133877.06999999986</v>
      </c>
      <c r="X63" s="20">
        <f t="shared" si="11"/>
        <v>133985.51999999987</v>
      </c>
      <c r="Y63" s="20">
        <f t="shared" si="11"/>
        <v>134051.05999999988</v>
      </c>
      <c r="Z63" s="20">
        <f t="shared" si="11"/>
        <v>134112.72999999989</v>
      </c>
      <c r="AA63" s="20">
        <f t="shared" si="11"/>
        <v>332684.28000000026</v>
      </c>
      <c r="AB63" s="21">
        <f t="shared" si="11"/>
        <v>328644.96000000025</v>
      </c>
    </row>
    <row r="64" spans="1:28" s="7" customFormat="1" ht="25" customHeight="1" thickBot="1">
      <c r="A64" s="1"/>
      <c r="B64" s="2"/>
      <c r="C64" s="72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56" s="18" customFormat="1" ht="25" customHeight="1">
      <c r="A65" s="13"/>
      <c r="B65" s="2"/>
      <c r="C65" s="33" t="s">
        <v>59</v>
      </c>
      <c r="D65" s="34">
        <f>SUM(D66:D67)</f>
        <v>2845233.4200000004</v>
      </c>
      <c r="E65" s="34"/>
      <c r="F65" s="34">
        <f>SUM(F66:F67)</f>
        <v>36.130000000000003</v>
      </c>
      <c r="G65" s="34">
        <f t="shared" ref="G65:AB65" si="12">SUM(G66:G67)</f>
        <v>35.85</v>
      </c>
      <c r="H65" s="34">
        <f t="shared" si="12"/>
        <v>684.1</v>
      </c>
      <c r="I65" s="34">
        <f t="shared" si="12"/>
        <v>334.96000000000004</v>
      </c>
      <c r="J65" s="34">
        <f t="shared" si="12"/>
        <v>50.51</v>
      </c>
      <c r="K65" s="34">
        <f t="shared" si="12"/>
        <v>46.3</v>
      </c>
      <c r="L65" s="34">
        <f t="shared" si="12"/>
        <v>-1041.67</v>
      </c>
      <c r="M65" s="34">
        <f t="shared" si="12"/>
        <v>59.45</v>
      </c>
      <c r="N65" s="34">
        <f t="shared" si="12"/>
        <v>98.5</v>
      </c>
      <c r="O65" s="34">
        <f t="shared" si="12"/>
        <v>67.819999999999993</v>
      </c>
      <c r="P65" s="34">
        <f t="shared" si="12"/>
        <v>80.63</v>
      </c>
      <c r="Q65" s="34">
        <f t="shared" si="12"/>
        <v>87.45</v>
      </c>
      <c r="R65" s="34">
        <f t="shared" si="12"/>
        <v>78.41</v>
      </c>
      <c r="S65" s="34">
        <f t="shared" si="12"/>
        <v>148.19999999999999</v>
      </c>
      <c r="T65" s="34">
        <f t="shared" si="12"/>
        <v>50.01</v>
      </c>
      <c r="U65" s="34">
        <f t="shared" si="12"/>
        <v>50.39</v>
      </c>
      <c r="V65" s="34">
        <f t="shared" si="12"/>
        <v>50.34</v>
      </c>
      <c r="W65" s="34">
        <f t="shared" si="12"/>
        <v>59.27</v>
      </c>
      <c r="X65" s="34">
        <f t="shared" si="12"/>
        <v>108.45</v>
      </c>
      <c r="Y65" s="34">
        <f t="shared" si="12"/>
        <v>65.540000000000006</v>
      </c>
      <c r="Z65" s="34">
        <f t="shared" si="12"/>
        <v>61.67</v>
      </c>
      <c r="AA65" s="34">
        <f t="shared" si="12"/>
        <v>2843980.74</v>
      </c>
      <c r="AB65" s="35">
        <f t="shared" si="12"/>
        <v>40.369999999999997</v>
      </c>
    </row>
    <row r="66" spans="1:256" s="39" customFormat="1" ht="25" customHeight="1">
      <c r="A66" s="9"/>
      <c r="B66" s="2"/>
      <c r="C66" s="36" t="s">
        <v>60</v>
      </c>
      <c r="D66" s="82">
        <f>SUM(F66:$AB$66)</f>
        <v>1291.4699999999998</v>
      </c>
      <c r="E66" s="29"/>
      <c r="F66" s="29">
        <v>36.130000000000003</v>
      </c>
      <c r="G66" s="29">
        <v>35.85</v>
      </c>
      <c r="H66" s="29">
        <f>632+52.1</f>
        <v>684.1</v>
      </c>
      <c r="I66" s="29">
        <f>273.67+61.29</f>
        <v>334.96000000000004</v>
      </c>
      <c r="J66" s="29">
        <v>50.51</v>
      </c>
      <c r="K66" s="29">
        <f>-1094.68+1094.68+46.3</f>
        <v>46.3</v>
      </c>
      <c r="L66" s="29">
        <f>-1094.68+53.01</f>
        <v>-1041.67</v>
      </c>
      <c r="M66" s="29">
        <v>59.45</v>
      </c>
      <c r="N66" s="29">
        <v>98.5</v>
      </c>
      <c r="O66" s="29">
        <v>67.819999999999993</v>
      </c>
      <c r="P66" s="29">
        <v>80.63</v>
      </c>
      <c r="Q66" s="29">
        <v>87.45</v>
      </c>
      <c r="R66" s="29">
        <v>78.41</v>
      </c>
      <c r="S66" s="29">
        <v>148.19999999999999</v>
      </c>
      <c r="T66" s="29">
        <v>50.01</v>
      </c>
      <c r="U66" s="29">
        <v>50.39</v>
      </c>
      <c r="V66" s="29">
        <v>50.34</v>
      </c>
      <c r="W66" s="29">
        <v>59.27</v>
      </c>
      <c r="X66" s="29">
        <v>108.45</v>
      </c>
      <c r="Y66" s="29">
        <v>65.540000000000006</v>
      </c>
      <c r="Z66" s="29">
        <v>61.67</v>
      </c>
      <c r="AA66" s="29">
        <v>38.79</v>
      </c>
      <c r="AB66" s="38">
        <v>40.369999999999997</v>
      </c>
    </row>
    <row r="67" spans="1:256" s="39" customFormat="1" ht="25" customHeight="1" thickBot="1">
      <c r="A67" s="9"/>
      <c r="B67" s="2"/>
      <c r="C67" s="51" t="s">
        <v>61</v>
      </c>
      <c r="D67" s="83">
        <f>SUM(F67:$AB$67)</f>
        <v>2843941.95</v>
      </c>
      <c r="E67" s="53"/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2843941.95</v>
      </c>
      <c r="AB67" s="54">
        <v>0</v>
      </c>
    </row>
    <row r="68" spans="1:256" s="90" customFormat="1" ht="25" customHeight="1" thickBot="1">
      <c r="A68" s="86"/>
      <c r="B68" s="2"/>
      <c r="C68" s="86"/>
      <c r="D68" s="87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9"/>
    </row>
    <row r="69" spans="1:256" s="18" customFormat="1" ht="25" customHeight="1" thickBot="1">
      <c r="A69" s="13"/>
      <c r="B69" s="2"/>
      <c r="C69" s="69" t="s">
        <v>37</v>
      </c>
      <c r="D69" s="70">
        <f>+D71</f>
        <v>2815812.3</v>
      </c>
      <c r="E69" s="70"/>
      <c r="F69" s="70">
        <f>+F71</f>
        <v>0</v>
      </c>
      <c r="G69" s="70">
        <f t="shared" ref="G69:AB69" si="13">+G71</f>
        <v>4166.57</v>
      </c>
      <c r="H69" s="70">
        <f t="shared" si="13"/>
        <v>0</v>
      </c>
      <c r="I69" s="70">
        <f t="shared" si="13"/>
        <v>60</v>
      </c>
      <c r="J69" s="70">
        <f t="shared" si="13"/>
        <v>15413</v>
      </c>
      <c r="K69" s="70">
        <f t="shared" si="13"/>
        <v>0</v>
      </c>
      <c r="L69" s="70">
        <f t="shared" si="13"/>
        <v>3439.19</v>
      </c>
      <c r="M69" s="70">
        <f t="shared" si="13"/>
        <v>0</v>
      </c>
      <c r="N69" s="70">
        <f t="shared" si="13"/>
        <v>0</v>
      </c>
      <c r="O69" s="70">
        <f t="shared" si="13"/>
        <v>0</v>
      </c>
      <c r="P69" s="70">
        <f t="shared" si="13"/>
        <v>0</v>
      </c>
      <c r="Q69" s="70">
        <f t="shared" si="13"/>
        <v>0</v>
      </c>
      <c r="R69" s="70">
        <f t="shared" si="13"/>
        <v>0</v>
      </c>
      <c r="S69" s="70">
        <f t="shared" si="13"/>
        <v>143244.66</v>
      </c>
      <c r="T69" s="70">
        <f t="shared" si="13"/>
        <v>0</v>
      </c>
      <c r="U69" s="70">
        <f t="shared" si="13"/>
        <v>0</v>
      </c>
      <c r="V69" s="70">
        <f t="shared" si="13"/>
        <v>0</v>
      </c>
      <c r="W69" s="70">
        <f t="shared" si="13"/>
        <v>0</v>
      </c>
      <c r="X69" s="70">
        <f t="shared" si="13"/>
        <v>0</v>
      </c>
      <c r="Y69" s="70">
        <f t="shared" si="13"/>
        <v>0</v>
      </c>
      <c r="Z69" s="70">
        <f t="shared" si="13"/>
        <v>0</v>
      </c>
      <c r="AA69" s="70">
        <f t="shared" si="13"/>
        <v>2645409.19</v>
      </c>
      <c r="AB69" s="71">
        <f t="shared" si="13"/>
        <v>4079.6899999999996</v>
      </c>
    </row>
    <row r="70" spans="1:256" s="90" customFormat="1" ht="25" customHeight="1" thickBot="1">
      <c r="A70" s="86"/>
      <c r="B70" s="2"/>
      <c r="C70" s="86"/>
      <c r="D70" s="87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9"/>
    </row>
    <row r="71" spans="1:256" s="18" customFormat="1" ht="25" customHeight="1">
      <c r="A71" s="13"/>
      <c r="B71" s="2"/>
      <c r="C71" s="33" t="s">
        <v>62</v>
      </c>
      <c r="D71" s="34">
        <f>SUM(D72:D74)</f>
        <v>2815812.3</v>
      </c>
      <c r="E71" s="34"/>
      <c r="F71" s="34">
        <f>SUM(F72:F74)</f>
        <v>0</v>
      </c>
      <c r="G71" s="34">
        <f t="shared" ref="G71:AB71" si="14">SUM(G72:G74)</f>
        <v>4166.57</v>
      </c>
      <c r="H71" s="34">
        <f t="shared" si="14"/>
        <v>0</v>
      </c>
      <c r="I71" s="34">
        <f t="shared" si="14"/>
        <v>60</v>
      </c>
      <c r="J71" s="34">
        <f t="shared" si="14"/>
        <v>15413</v>
      </c>
      <c r="K71" s="34">
        <f t="shared" si="14"/>
        <v>0</v>
      </c>
      <c r="L71" s="34">
        <f t="shared" si="14"/>
        <v>3439.19</v>
      </c>
      <c r="M71" s="34">
        <f t="shared" si="14"/>
        <v>0</v>
      </c>
      <c r="N71" s="34">
        <f t="shared" si="14"/>
        <v>0</v>
      </c>
      <c r="O71" s="34">
        <f t="shared" si="14"/>
        <v>0</v>
      </c>
      <c r="P71" s="34">
        <f t="shared" si="14"/>
        <v>0</v>
      </c>
      <c r="Q71" s="34">
        <f t="shared" si="14"/>
        <v>0</v>
      </c>
      <c r="R71" s="34">
        <f t="shared" si="14"/>
        <v>0</v>
      </c>
      <c r="S71" s="34">
        <f t="shared" si="14"/>
        <v>143244.66</v>
      </c>
      <c r="T71" s="34">
        <f t="shared" si="14"/>
        <v>0</v>
      </c>
      <c r="U71" s="34">
        <f t="shared" si="14"/>
        <v>0</v>
      </c>
      <c r="V71" s="34">
        <f t="shared" si="14"/>
        <v>0</v>
      </c>
      <c r="W71" s="34">
        <f t="shared" si="14"/>
        <v>0</v>
      </c>
      <c r="X71" s="34">
        <f t="shared" si="14"/>
        <v>0</v>
      </c>
      <c r="Y71" s="34">
        <f t="shared" si="14"/>
        <v>0</v>
      </c>
      <c r="Z71" s="34">
        <f t="shared" si="14"/>
        <v>0</v>
      </c>
      <c r="AA71" s="34">
        <f t="shared" si="14"/>
        <v>2645409.19</v>
      </c>
      <c r="AB71" s="35">
        <f t="shared" si="14"/>
        <v>4079.6899999999996</v>
      </c>
    </row>
    <row r="72" spans="1:256" s="39" customFormat="1" ht="25" customHeight="1">
      <c r="A72" s="9"/>
      <c r="B72" s="2">
        <v>311</v>
      </c>
      <c r="C72" s="74" t="s">
        <v>63</v>
      </c>
      <c r="D72" s="75">
        <f>SUM(F72:$AB$72)</f>
        <v>2654610.19</v>
      </c>
      <c r="E72" s="76"/>
      <c r="F72" s="76">
        <v>0</v>
      </c>
      <c r="G72" s="76">
        <v>4166.57</v>
      </c>
      <c r="H72" s="76">
        <v>0</v>
      </c>
      <c r="I72" s="76">
        <v>0</v>
      </c>
      <c r="J72" s="76">
        <v>0</v>
      </c>
      <c r="K72" s="76">
        <v>0</v>
      </c>
      <c r="L72" s="76">
        <v>3439.19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2645409.19</v>
      </c>
      <c r="AB72" s="77">
        <f>1595.24</f>
        <v>1595.24</v>
      </c>
    </row>
    <row r="73" spans="1:256" s="39" customFormat="1" ht="25" customHeight="1">
      <c r="A73" s="9"/>
      <c r="B73" s="2">
        <v>312</v>
      </c>
      <c r="C73" s="74" t="s">
        <v>64</v>
      </c>
      <c r="D73" s="75">
        <f>SUM(F73:$AB$73)</f>
        <v>161202.11000000002</v>
      </c>
      <c r="E73" s="76"/>
      <c r="F73" s="76">
        <v>0</v>
      </c>
      <c r="G73" s="76">
        <v>0</v>
      </c>
      <c r="H73" s="76">
        <v>0</v>
      </c>
      <c r="I73" s="76">
        <v>60</v>
      </c>
      <c r="J73" s="76">
        <v>15413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143244.66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7">
        <v>2484.4499999999998</v>
      </c>
    </row>
    <row r="74" spans="1:256" s="39" customFormat="1" ht="25" customHeight="1" thickBot="1">
      <c r="A74" s="9"/>
      <c r="B74" s="2">
        <v>312</v>
      </c>
      <c r="C74" s="91" t="s">
        <v>65</v>
      </c>
      <c r="D74" s="92">
        <f>SUM(F74:$AB$74)</f>
        <v>0</v>
      </c>
      <c r="E74" s="93"/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3">
        <v>0</v>
      </c>
      <c r="S74" s="93">
        <v>0</v>
      </c>
      <c r="T74" s="93">
        <v>0</v>
      </c>
      <c r="U74" s="93">
        <v>0</v>
      </c>
      <c r="V74" s="93">
        <v>0</v>
      </c>
      <c r="W74" s="93">
        <v>0</v>
      </c>
      <c r="X74" s="93">
        <v>0</v>
      </c>
      <c r="Y74" s="93">
        <v>0</v>
      </c>
      <c r="Z74" s="93">
        <v>0</v>
      </c>
      <c r="AA74" s="93">
        <v>0</v>
      </c>
      <c r="AB74" s="94">
        <v>0</v>
      </c>
    </row>
    <row r="75" spans="1:256" s="98" customFormat="1" ht="25" customHeight="1">
      <c r="A75" s="10"/>
      <c r="B75" s="2"/>
      <c r="C75" s="95">
        <f ca="1">NOW()</f>
        <v>41970.662378819441</v>
      </c>
      <c r="D75" s="96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18"/>
      <c r="Y75" s="18"/>
      <c r="Z75" s="18"/>
      <c r="AA75" s="18"/>
      <c r="AB75" s="1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</row>
    <row r="76" spans="1:256" s="12" customFormat="1" ht="20.05" customHeight="1">
      <c r="A76" s="9"/>
      <c r="B76" s="2"/>
      <c r="C76" s="99"/>
      <c r="D76" s="96"/>
      <c r="E76" s="97"/>
      <c r="F76" s="39"/>
      <c r="G76" s="39"/>
      <c r="H76" s="39"/>
      <c r="I76" s="39"/>
      <c r="J76" s="39"/>
      <c r="K76" s="39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39"/>
      <c r="W76" s="39"/>
      <c r="X76" s="7"/>
      <c r="Y76" s="7"/>
      <c r="Z76" s="7"/>
      <c r="AA76" s="7"/>
      <c r="AB76" s="7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</row>
    <row r="79" spans="1:256">
      <c r="L79" s="102"/>
    </row>
    <row r="88" spans="1:256" s="98" customFormat="1">
      <c r="A88" s="10"/>
      <c r="B88" s="2"/>
      <c r="C88" s="103"/>
      <c r="D88" s="96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18"/>
      <c r="Y88" s="18"/>
      <c r="Z88" s="18"/>
      <c r="AA88" s="18"/>
      <c r="AB88" s="18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7"/>
      <c r="CO88" s="97"/>
      <c r="CP88" s="97"/>
      <c r="CQ88" s="97"/>
      <c r="CR88" s="97"/>
      <c r="CS88" s="97"/>
      <c r="CT88" s="97"/>
      <c r="CU88" s="97"/>
      <c r="CV88" s="97"/>
      <c r="CW88" s="97"/>
      <c r="CX88" s="97"/>
      <c r="CY88" s="97"/>
      <c r="CZ88" s="97"/>
      <c r="DA88" s="97"/>
      <c r="DB88" s="97"/>
      <c r="DC88" s="97"/>
      <c r="DD88" s="97"/>
      <c r="DE88" s="97"/>
      <c r="DF88" s="97"/>
      <c r="DG88" s="97"/>
      <c r="DH88" s="97"/>
      <c r="DI88" s="97"/>
      <c r="DJ88" s="97"/>
      <c r="DK88" s="97"/>
      <c r="DL88" s="97"/>
      <c r="DM88" s="97"/>
      <c r="DN88" s="97"/>
      <c r="DO88" s="97"/>
      <c r="DP88" s="97"/>
      <c r="DQ88" s="97"/>
      <c r="DR88" s="97"/>
      <c r="DS88" s="97"/>
      <c r="DT88" s="97"/>
      <c r="DU88" s="97"/>
      <c r="DV88" s="97"/>
      <c r="DW88" s="97"/>
      <c r="DX88" s="97"/>
      <c r="DY88" s="97"/>
      <c r="DZ88" s="97"/>
      <c r="EA88" s="97"/>
      <c r="EB88" s="97"/>
      <c r="EC88" s="97"/>
      <c r="ED88" s="97"/>
      <c r="EE88" s="97"/>
      <c r="EF88" s="97"/>
      <c r="EG88" s="97"/>
      <c r="EH88" s="97"/>
      <c r="EI88" s="97"/>
      <c r="EJ88" s="97"/>
      <c r="EK88" s="97"/>
      <c r="EL88" s="97"/>
      <c r="EM88" s="97"/>
      <c r="EN88" s="97"/>
      <c r="EO88" s="97"/>
      <c r="EP88" s="97"/>
      <c r="EQ88" s="97"/>
      <c r="ER88" s="97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  <c r="FD88" s="97"/>
      <c r="FE88" s="97"/>
      <c r="FF88" s="97"/>
      <c r="FG88" s="97"/>
      <c r="FH88" s="97"/>
      <c r="FI88" s="97"/>
      <c r="FJ88" s="97"/>
      <c r="FK88" s="97"/>
      <c r="FL88" s="97"/>
      <c r="FM88" s="97"/>
      <c r="FN88" s="97"/>
      <c r="FO88" s="97"/>
      <c r="FP88" s="97"/>
      <c r="FQ88" s="97"/>
      <c r="FR88" s="97"/>
      <c r="FS88" s="97"/>
      <c r="FT88" s="97"/>
      <c r="FU88" s="97"/>
      <c r="FV88" s="97"/>
      <c r="FW88" s="97"/>
      <c r="FX88" s="97"/>
      <c r="FY88" s="97"/>
      <c r="FZ88" s="97"/>
      <c r="GA88" s="97"/>
      <c r="GB88" s="97"/>
      <c r="GC88" s="97"/>
      <c r="GD88" s="97"/>
      <c r="GE88" s="97"/>
      <c r="GF88" s="97"/>
      <c r="GG88" s="97"/>
      <c r="GH88" s="97"/>
      <c r="GI88" s="97"/>
      <c r="GJ88" s="97"/>
      <c r="GK88" s="97"/>
      <c r="GL88" s="97"/>
      <c r="GM88" s="97"/>
      <c r="GN88" s="97"/>
      <c r="GO88" s="97"/>
      <c r="GP88" s="97"/>
      <c r="GQ88" s="97"/>
      <c r="GR88" s="97"/>
      <c r="GS88" s="97"/>
      <c r="GT88" s="97"/>
      <c r="GU88" s="97"/>
      <c r="GV88" s="97"/>
      <c r="GW88" s="97"/>
      <c r="GX88" s="97"/>
      <c r="GY88" s="97"/>
      <c r="GZ88" s="97"/>
      <c r="HA88" s="97"/>
      <c r="HB88" s="97"/>
      <c r="HC88" s="97"/>
      <c r="HD88" s="97"/>
      <c r="HE88" s="97"/>
      <c r="HF88" s="97"/>
      <c r="HG88" s="97"/>
      <c r="HH88" s="97"/>
      <c r="HI88" s="97"/>
      <c r="HJ88" s="97"/>
      <c r="HK88" s="97"/>
      <c r="HL88" s="97"/>
      <c r="HM88" s="97"/>
      <c r="HN88" s="97"/>
      <c r="HO88" s="97"/>
      <c r="HP88" s="97"/>
      <c r="HQ88" s="97"/>
      <c r="HR88" s="97"/>
      <c r="HS88" s="97"/>
      <c r="HT88" s="97"/>
      <c r="HU88" s="97"/>
      <c r="HV88" s="97"/>
      <c r="HW88" s="97"/>
      <c r="HX88" s="97"/>
      <c r="HY88" s="97"/>
      <c r="HZ88" s="97"/>
      <c r="IA88" s="97"/>
      <c r="IB88" s="97"/>
      <c r="IC88" s="97"/>
      <c r="ID88" s="97"/>
      <c r="IE88" s="97"/>
      <c r="IF88" s="97"/>
      <c r="IG88" s="97"/>
      <c r="IH88" s="97"/>
      <c r="II88" s="97"/>
      <c r="IJ88" s="97"/>
      <c r="IK88" s="97"/>
      <c r="IL88" s="97"/>
      <c r="IM88" s="97"/>
      <c r="IN88" s="97"/>
      <c r="IO88" s="97"/>
      <c r="IP88" s="97"/>
      <c r="IQ88" s="97"/>
      <c r="IR88" s="97"/>
      <c r="IS88" s="97"/>
      <c r="IT88" s="97"/>
      <c r="IU88" s="97"/>
      <c r="IV88" s="97"/>
    </row>
    <row r="89" spans="1:256" s="98" customFormat="1">
      <c r="A89" s="10"/>
      <c r="B89" s="2"/>
      <c r="C89" s="103"/>
      <c r="D89" s="96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18"/>
      <c r="Y89" s="18"/>
      <c r="Z89" s="18"/>
      <c r="AA89" s="18"/>
      <c r="AB89" s="18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/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D89" s="97"/>
      <c r="DE89" s="97"/>
      <c r="DF89" s="97"/>
      <c r="DG89" s="97"/>
      <c r="DH89" s="97"/>
      <c r="DI89" s="97"/>
      <c r="DJ89" s="97"/>
      <c r="DK89" s="97"/>
      <c r="DL89" s="97"/>
      <c r="DM89" s="97"/>
      <c r="DN89" s="97"/>
      <c r="DO89" s="97"/>
      <c r="DP89" s="97"/>
      <c r="DQ89" s="97"/>
      <c r="DR89" s="97"/>
      <c r="DS89" s="97"/>
      <c r="DT89" s="97"/>
      <c r="DU89" s="97"/>
      <c r="DV89" s="97"/>
      <c r="DW89" s="97"/>
      <c r="DX89" s="97"/>
      <c r="DY89" s="97"/>
      <c r="DZ89" s="97"/>
      <c r="EA89" s="97"/>
      <c r="EB89" s="97"/>
      <c r="EC89" s="97"/>
      <c r="ED89" s="97"/>
      <c r="EE89" s="97"/>
      <c r="EF89" s="97"/>
      <c r="EG89" s="97"/>
      <c r="EH89" s="97"/>
      <c r="EI89" s="97"/>
      <c r="EJ89" s="97"/>
      <c r="EK89" s="97"/>
      <c r="EL89" s="97"/>
      <c r="EM89" s="97"/>
      <c r="EN89" s="97"/>
      <c r="EO89" s="97"/>
      <c r="EP89" s="97"/>
      <c r="EQ89" s="97"/>
      <c r="ER89" s="97"/>
      <c r="ES89" s="97"/>
      <c r="ET89" s="97"/>
      <c r="EU89" s="97"/>
      <c r="EV89" s="97"/>
      <c r="EW89" s="97"/>
      <c r="EX89" s="97"/>
      <c r="EY89" s="97"/>
      <c r="EZ89" s="97"/>
      <c r="FA89" s="97"/>
      <c r="FB89" s="97"/>
      <c r="FC89" s="97"/>
      <c r="FD89" s="97"/>
      <c r="FE89" s="97"/>
      <c r="FF89" s="97"/>
      <c r="FG89" s="97"/>
      <c r="FH89" s="97"/>
      <c r="FI89" s="97"/>
      <c r="FJ89" s="97"/>
      <c r="FK89" s="97"/>
      <c r="FL89" s="97"/>
      <c r="FM89" s="97"/>
      <c r="FN89" s="97"/>
      <c r="FO89" s="97"/>
      <c r="FP89" s="97"/>
      <c r="FQ89" s="97"/>
      <c r="FR89" s="97"/>
      <c r="FS89" s="97"/>
      <c r="FT89" s="97"/>
      <c r="FU89" s="97"/>
      <c r="FV89" s="97"/>
      <c r="FW89" s="97"/>
      <c r="FX89" s="97"/>
      <c r="FY89" s="97"/>
      <c r="FZ89" s="97"/>
      <c r="GA89" s="97"/>
      <c r="GB89" s="97"/>
      <c r="GC89" s="97"/>
      <c r="GD89" s="97"/>
      <c r="GE89" s="97"/>
      <c r="GF89" s="97"/>
      <c r="GG89" s="97"/>
      <c r="GH89" s="97"/>
      <c r="GI89" s="97"/>
      <c r="GJ89" s="97"/>
      <c r="GK89" s="97"/>
      <c r="GL89" s="97"/>
      <c r="GM89" s="97"/>
      <c r="GN89" s="97"/>
      <c r="GO89" s="97"/>
      <c r="GP89" s="97"/>
      <c r="GQ89" s="97"/>
      <c r="GR89" s="97"/>
      <c r="GS89" s="97"/>
      <c r="GT89" s="97"/>
      <c r="GU89" s="97"/>
      <c r="GV89" s="97"/>
      <c r="GW89" s="97"/>
      <c r="GX89" s="97"/>
      <c r="GY89" s="97"/>
      <c r="GZ89" s="97"/>
      <c r="HA89" s="97"/>
      <c r="HB89" s="97"/>
      <c r="HC89" s="97"/>
      <c r="HD89" s="97"/>
      <c r="HE89" s="97"/>
      <c r="HF89" s="97"/>
      <c r="HG89" s="97"/>
      <c r="HH89" s="97"/>
      <c r="HI89" s="97"/>
      <c r="HJ89" s="97"/>
      <c r="HK89" s="97"/>
      <c r="HL89" s="97"/>
      <c r="HM89" s="97"/>
      <c r="HN89" s="97"/>
      <c r="HO89" s="97"/>
      <c r="HP89" s="97"/>
      <c r="HQ89" s="97"/>
      <c r="HR89" s="97"/>
      <c r="HS89" s="97"/>
      <c r="HT89" s="97"/>
      <c r="HU89" s="97"/>
      <c r="HV89" s="97"/>
      <c r="HW89" s="97"/>
      <c r="HX89" s="97"/>
      <c r="HY89" s="97"/>
      <c r="HZ89" s="97"/>
      <c r="IA89" s="97"/>
      <c r="IB89" s="97"/>
      <c r="IC89" s="97"/>
      <c r="ID89" s="97"/>
      <c r="IE89" s="97"/>
      <c r="IF89" s="97"/>
      <c r="IG89" s="97"/>
      <c r="IH89" s="97"/>
      <c r="II89" s="97"/>
      <c r="IJ89" s="97"/>
      <c r="IK89" s="97"/>
      <c r="IL89" s="97"/>
      <c r="IM89" s="97"/>
      <c r="IN89" s="97"/>
      <c r="IO89" s="97"/>
      <c r="IP89" s="97"/>
      <c r="IQ89" s="97"/>
      <c r="IR89" s="97"/>
      <c r="IS89" s="97"/>
      <c r="IT89" s="97"/>
      <c r="IU89" s="97"/>
      <c r="IV89" s="97"/>
    </row>
    <row r="90" spans="1:256" s="98" customFormat="1">
      <c r="A90" s="10"/>
      <c r="B90" s="2"/>
      <c r="C90" s="103"/>
      <c r="D90" s="96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18"/>
      <c r="Y90" s="18"/>
      <c r="Z90" s="18"/>
      <c r="AA90" s="18"/>
      <c r="AB90" s="18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/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D90" s="97"/>
      <c r="DE90" s="97"/>
      <c r="DF90" s="97"/>
      <c r="DG90" s="97"/>
      <c r="DH90" s="97"/>
      <c r="DI90" s="97"/>
      <c r="DJ90" s="97"/>
      <c r="DK90" s="97"/>
      <c r="DL90" s="97"/>
      <c r="DM90" s="97"/>
      <c r="DN90" s="97"/>
      <c r="DO90" s="97"/>
      <c r="DP90" s="97"/>
      <c r="DQ90" s="97"/>
      <c r="DR90" s="97"/>
      <c r="DS90" s="97"/>
      <c r="DT90" s="97"/>
      <c r="DU90" s="97"/>
      <c r="DV90" s="97"/>
      <c r="DW90" s="97"/>
      <c r="DX90" s="97"/>
      <c r="DY90" s="97"/>
      <c r="DZ90" s="97"/>
      <c r="EA90" s="97"/>
      <c r="EB90" s="97"/>
      <c r="EC90" s="97"/>
      <c r="ED90" s="97"/>
      <c r="EE90" s="97"/>
      <c r="EF90" s="97"/>
      <c r="EG90" s="97"/>
      <c r="EH90" s="97"/>
      <c r="EI90" s="97"/>
      <c r="EJ90" s="97"/>
      <c r="EK90" s="97"/>
      <c r="EL90" s="97"/>
      <c r="EM90" s="97"/>
      <c r="EN90" s="97"/>
      <c r="EO90" s="97"/>
      <c r="EP90" s="97"/>
      <c r="EQ90" s="97"/>
      <c r="ER90" s="97"/>
      <c r="ES90" s="97"/>
      <c r="ET90" s="97"/>
      <c r="EU90" s="97"/>
      <c r="EV90" s="97"/>
      <c r="EW90" s="97"/>
      <c r="EX90" s="97"/>
      <c r="EY90" s="97"/>
      <c r="EZ90" s="97"/>
      <c r="FA90" s="97"/>
      <c r="FB90" s="97"/>
      <c r="FC90" s="97"/>
      <c r="FD90" s="97"/>
      <c r="FE90" s="97"/>
      <c r="FF90" s="97"/>
      <c r="FG90" s="97"/>
      <c r="FH90" s="97"/>
      <c r="FI90" s="97"/>
      <c r="FJ90" s="97"/>
      <c r="FK90" s="97"/>
      <c r="FL90" s="97"/>
      <c r="FM90" s="97"/>
      <c r="FN90" s="97"/>
      <c r="FO90" s="97"/>
      <c r="FP90" s="97"/>
      <c r="FQ90" s="97"/>
      <c r="FR90" s="97"/>
      <c r="FS90" s="97"/>
      <c r="FT90" s="97"/>
      <c r="FU90" s="97"/>
      <c r="FV90" s="97"/>
      <c r="FW90" s="97"/>
      <c r="FX90" s="97"/>
      <c r="FY90" s="97"/>
      <c r="FZ90" s="97"/>
      <c r="GA90" s="97"/>
      <c r="GB90" s="97"/>
      <c r="GC90" s="97"/>
      <c r="GD90" s="97"/>
      <c r="GE90" s="97"/>
      <c r="GF90" s="97"/>
      <c r="GG90" s="97"/>
      <c r="GH90" s="97"/>
      <c r="GI90" s="97"/>
      <c r="GJ90" s="97"/>
      <c r="GK90" s="97"/>
      <c r="GL90" s="97"/>
      <c r="GM90" s="97"/>
      <c r="GN90" s="97"/>
      <c r="GO90" s="97"/>
      <c r="GP90" s="97"/>
      <c r="GQ90" s="97"/>
      <c r="GR90" s="97"/>
      <c r="GS90" s="97"/>
      <c r="GT90" s="97"/>
      <c r="GU90" s="97"/>
      <c r="GV90" s="97"/>
      <c r="GW90" s="97"/>
      <c r="GX90" s="97"/>
      <c r="GY90" s="97"/>
      <c r="GZ90" s="97"/>
      <c r="HA90" s="97"/>
      <c r="HB90" s="97"/>
      <c r="HC90" s="97"/>
      <c r="HD90" s="97"/>
      <c r="HE90" s="97"/>
      <c r="HF90" s="97"/>
      <c r="HG90" s="97"/>
      <c r="HH90" s="97"/>
      <c r="HI90" s="97"/>
      <c r="HJ90" s="97"/>
      <c r="HK90" s="97"/>
      <c r="HL90" s="97"/>
      <c r="HM90" s="97"/>
      <c r="HN90" s="97"/>
      <c r="HO90" s="97"/>
      <c r="HP90" s="97"/>
      <c r="HQ90" s="97"/>
      <c r="HR90" s="97"/>
      <c r="HS90" s="97"/>
      <c r="HT90" s="97"/>
      <c r="HU90" s="97"/>
      <c r="HV90" s="97"/>
      <c r="HW90" s="97"/>
      <c r="HX90" s="97"/>
      <c r="HY90" s="97"/>
      <c r="HZ90" s="97"/>
      <c r="IA90" s="97"/>
      <c r="IB90" s="97"/>
      <c r="IC90" s="97"/>
      <c r="ID90" s="97"/>
      <c r="IE90" s="97"/>
      <c r="IF90" s="97"/>
      <c r="IG90" s="97"/>
      <c r="IH90" s="97"/>
      <c r="II90" s="97"/>
      <c r="IJ90" s="97"/>
      <c r="IK90" s="97"/>
      <c r="IL90" s="97"/>
      <c r="IM90" s="97"/>
      <c r="IN90" s="97"/>
      <c r="IO90" s="97"/>
      <c r="IP90" s="97"/>
      <c r="IQ90" s="97"/>
      <c r="IR90" s="97"/>
      <c r="IS90" s="97"/>
      <c r="IT90" s="97"/>
      <c r="IU90" s="97"/>
      <c r="IV90" s="97"/>
    </row>
    <row r="91" spans="1:256" s="98" customFormat="1">
      <c r="A91" s="10"/>
      <c r="B91" s="2"/>
      <c r="C91" s="103"/>
      <c r="D91" s="96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18"/>
      <c r="Y91" s="18"/>
      <c r="Z91" s="18"/>
      <c r="AA91" s="18"/>
      <c r="AB91" s="18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7"/>
      <c r="CO91" s="97"/>
      <c r="CP91" s="97"/>
      <c r="CQ91" s="97"/>
      <c r="CR91" s="97"/>
      <c r="CS91" s="97"/>
      <c r="CT91" s="97"/>
      <c r="CU91" s="97"/>
      <c r="CV91" s="97"/>
      <c r="CW91" s="97"/>
      <c r="CX91" s="97"/>
      <c r="CY91" s="97"/>
      <c r="CZ91" s="97"/>
      <c r="DA91" s="97"/>
      <c r="DB91" s="97"/>
      <c r="DC91" s="97"/>
      <c r="DD91" s="97"/>
      <c r="DE91" s="97"/>
      <c r="DF91" s="97"/>
      <c r="DG91" s="97"/>
      <c r="DH91" s="97"/>
      <c r="DI91" s="97"/>
      <c r="DJ91" s="97"/>
      <c r="DK91" s="97"/>
      <c r="DL91" s="97"/>
      <c r="DM91" s="97"/>
      <c r="DN91" s="97"/>
      <c r="DO91" s="97"/>
      <c r="DP91" s="97"/>
      <c r="DQ91" s="97"/>
      <c r="DR91" s="97"/>
      <c r="DS91" s="97"/>
      <c r="DT91" s="97"/>
      <c r="DU91" s="97"/>
      <c r="DV91" s="97"/>
      <c r="DW91" s="97"/>
      <c r="DX91" s="97"/>
      <c r="DY91" s="97"/>
      <c r="DZ91" s="97"/>
      <c r="EA91" s="97"/>
      <c r="EB91" s="97"/>
      <c r="EC91" s="97"/>
      <c r="ED91" s="97"/>
      <c r="EE91" s="97"/>
      <c r="EF91" s="97"/>
      <c r="EG91" s="97"/>
      <c r="EH91" s="97"/>
      <c r="EI91" s="97"/>
      <c r="EJ91" s="97"/>
      <c r="EK91" s="97"/>
      <c r="EL91" s="97"/>
      <c r="EM91" s="97"/>
      <c r="EN91" s="97"/>
      <c r="EO91" s="97"/>
      <c r="EP91" s="97"/>
      <c r="EQ91" s="97"/>
      <c r="ER91" s="97"/>
      <c r="ES91" s="97"/>
      <c r="ET91" s="97"/>
      <c r="EU91" s="97"/>
      <c r="EV91" s="97"/>
      <c r="EW91" s="97"/>
      <c r="EX91" s="97"/>
      <c r="EY91" s="97"/>
      <c r="EZ91" s="97"/>
      <c r="FA91" s="97"/>
      <c r="FB91" s="97"/>
      <c r="FC91" s="97"/>
      <c r="FD91" s="97"/>
      <c r="FE91" s="97"/>
      <c r="FF91" s="97"/>
      <c r="FG91" s="97"/>
      <c r="FH91" s="97"/>
      <c r="FI91" s="97"/>
      <c r="FJ91" s="97"/>
      <c r="FK91" s="97"/>
      <c r="FL91" s="97"/>
      <c r="FM91" s="97"/>
      <c r="FN91" s="97"/>
      <c r="FO91" s="97"/>
      <c r="FP91" s="97"/>
      <c r="FQ91" s="97"/>
      <c r="FR91" s="97"/>
      <c r="FS91" s="97"/>
      <c r="FT91" s="97"/>
      <c r="FU91" s="97"/>
      <c r="FV91" s="97"/>
      <c r="FW91" s="97"/>
      <c r="FX91" s="97"/>
      <c r="FY91" s="97"/>
      <c r="FZ91" s="97"/>
      <c r="GA91" s="97"/>
      <c r="GB91" s="97"/>
      <c r="GC91" s="97"/>
      <c r="GD91" s="97"/>
      <c r="GE91" s="97"/>
      <c r="GF91" s="97"/>
      <c r="GG91" s="97"/>
      <c r="GH91" s="97"/>
      <c r="GI91" s="97"/>
      <c r="GJ91" s="97"/>
      <c r="GK91" s="97"/>
      <c r="GL91" s="97"/>
      <c r="GM91" s="97"/>
      <c r="GN91" s="97"/>
      <c r="GO91" s="97"/>
      <c r="GP91" s="97"/>
      <c r="GQ91" s="97"/>
      <c r="GR91" s="97"/>
      <c r="GS91" s="97"/>
      <c r="GT91" s="97"/>
      <c r="GU91" s="97"/>
      <c r="GV91" s="97"/>
      <c r="GW91" s="97"/>
      <c r="GX91" s="97"/>
      <c r="GY91" s="97"/>
      <c r="GZ91" s="97"/>
      <c r="HA91" s="97"/>
      <c r="HB91" s="97"/>
      <c r="HC91" s="97"/>
      <c r="HD91" s="97"/>
      <c r="HE91" s="97"/>
      <c r="HF91" s="97"/>
      <c r="HG91" s="97"/>
      <c r="HH91" s="97"/>
      <c r="HI91" s="97"/>
      <c r="HJ91" s="97"/>
      <c r="HK91" s="97"/>
      <c r="HL91" s="97"/>
      <c r="HM91" s="97"/>
      <c r="HN91" s="97"/>
      <c r="HO91" s="97"/>
      <c r="HP91" s="97"/>
      <c r="HQ91" s="97"/>
      <c r="HR91" s="97"/>
      <c r="HS91" s="97"/>
      <c r="HT91" s="97"/>
      <c r="HU91" s="97"/>
      <c r="HV91" s="97"/>
      <c r="HW91" s="97"/>
      <c r="HX91" s="97"/>
      <c r="HY91" s="97"/>
      <c r="HZ91" s="97"/>
      <c r="IA91" s="97"/>
      <c r="IB91" s="97"/>
      <c r="IC91" s="97"/>
      <c r="ID91" s="97"/>
      <c r="IE91" s="97"/>
      <c r="IF91" s="97"/>
      <c r="IG91" s="97"/>
      <c r="IH91" s="97"/>
      <c r="II91" s="97"/>
      <c r="IJ91" s="97"/>
      <c r="IK91" s="97"/>
      <c r="IL91" s="97"/>
      <c r="IM91" s="97"/>
      <c r="IN91" s="97"/>
      <c r="IO91" s="97"/>
      <c r="IP91" s="97"/>
      <c r="IQ91" s="97"/>
      <c r="IR91" s="97"/>
      <c r="IS91" s="97"/>
      <c r="IT91" s="97"/>
      <c r="IU91" s="97"/>
      <c r="IV91" s="97"/>
    </row>
    <row r="92" spans="1:256" s="98" customFormat="1">
      <c r="A92" s="10"/>
      <c r="B92" s="2"/>
      <c r="C92" s="103"/>
      <c r="D92" s="96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8"/>
      <c r="Y92" s="18"/>
      <c r="Z92" s="18"/>
      <c r="AA92" s="18"/>
      <c r="AB92" s="18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D92" s="97"/>
      <c r="DE92" s="97"/>
      <c r="DF92" s="97"/>
      <c r="DG92" s="97"/>
      <c r="DH92" s="97"/>
      <c r="DI92" s="97"/>
      <c r="DJ92" s="97"/>
      <c r="DK92" s="97"/>
      <c r="DL92" s="97"/>
      <c r="DM92" s="97"/>
      <c r="DN92" s="97"/>
      <c r="DO92" s="97"/>
      <c r="DP92" s="97"/>
      <c r="DQ92" s="97"/>
      <c r="DR92" s="97"/>
      <c r="DS92" s="97"/>
      <c r="DT92" s="97"/>
      <c r="DU92" s="97"/>
      <c r="DV92" s="97"/>
      <c r="DW92" s="97"/>
      <c r="DX92" s="97"/>
      <c r="DY92" s="97"/>
      <c r="DZ92" s="97"/>
      <c r="EA92" s="97"/>
      <c r="EB92" s="97"/>
      <c r="EC92" s="97"/>
      <c r="ED92" s="97"/>
      <c r="EE92" s="97"/>
      <c r="EF92" s="97"/>
      <c r="EG92" s="97"/>
      <c r="EH92" s="97"/>
      <c r="EI92" s="97"/>
      <c r="EJ92" s="97"/>
      <c r="EK92" s="97"/>
      <c r="EL92" s="97"/>
      <c r="EM92" s="97"/>
      <c r="EN92" s="97"/>
      <c r="EO92" s="97"/>
      <c r="EP92" s="97"/>
      <c r="EQ92" s="97"/>
      <c r="ER92" s="97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  <c r="FD92" s="97"/>
      <c r="FE92" s="97"/>
      <c r="FF92" s="97"/>
      <c r="FG92" s="97"/>
      <c r="FH92" s="97"/>
      <c r="FI92" s="97"/>
      <c r="FJ92" s="97"/>
      <c r="FK92" s="97"/>
      <c r="FL92" s="97"/>
      <c r="FM92" s="97"/>
      <c r="FN92" s="97"/>
      <c r="FO92" s="97"/>
      <c r="FP92" s="97"/>
      <c r="FQ92" s="97"/>
      <c r="FR92" s="97"/>
      <c r="FS92" s="97"/>
      <c r="FT92" s="97"/>
      <c r="FU92" s="97"/>
      <c r="FV92" s="97"/>
      <c r="FW92" s="97"/>
      <c r="FX92" s="97"/>
      <c r="FY92" s="97"/>
      <c r="FZ92" s="97"/>
      <c r="GA92" s="97"/>
      <c r="GB92" s="97"/>
      <c r="GC92" s="97"/>
      <c r="GD92" s="97"/>
      <c r="GE92" s="97"/>
      <c r="GF92" s="97"/>
      <c r="GG92" s="97"/>
      <c r="GH92" s="97"/>
      <c r="GI92" s="97"/>
      <c r="GJ92" s="97"/>
      <c r="GK92" s="97"/>
      <c r="GL92" s="97"/>
      <c r="GM92" s="97"/>
      <c r="GN92" s="97"/>
      <c r="GO92" s="97"/>
      <c r="GP92" s="97"/>
      <c r="GQ92" s="97"/>
      <c r="GR92" s="97"/>
      <c r="GS92" s="97"/>
      <c r="GT92" s="97"/>
      <c r="GU92" s="97"/>
      <c r="GV92" s="97"/>
      <c r="GW92" s="97"/>
      <c r="GX92" s="97"/>
      <c r="GY92" s="97"/>
      <c r="GZ92" s="97"/>
      <c r="HA92" s="97"/>
      <c r="HB92" s="97"/>
      <c r="HC92" s="97"/>
      <c r="HD92" s="97"/>
      <c r="HE92" s="97"/>
      <c r="HF92" s="97"/>
      <c r="HG92" s="97"/>
      <c r="HH92" s="97"/>
      <c r="HI92" s="97"/>
      <c r="HJ92" s="97"/>
      <c r="HK92" s="97"/>
      <c r="HL92" s="97"/>
      <c r="HM92" s="97"/>
      <c r="HN92" s="97"/>
      <c r="HO92" s="97"/>
      <c r="HP92" s="97"/>
      <c r="HQ92" s="97"/>
      <c r="HR92" s="97"/>
      <c r="HS92" s="97"/>
      <c r="HT92" s="97"/>
      <c r="HU92" s="97"/>
      <c r="HV92" s="97"/>
      <c r="HW92" s="97"/>
      <c r="HX92" s="97"/>
      <c r="HY92" s="97"/>
      <c r="HZ92" s="97"/>
      <c r="IA92" s="97"/>
      <c r="IB92" s="97"/>
      <c r="IC92" s="97"/>
      <c r="ID92" s="97"/>
      <c r="IE92" s="97"/>
      <c r="IF92" s="97"/>
      <c r="IG92" s="97"/>
      <c r="IH92" s="97"/>
      <c r="II92" s="97"/>
      <c r="IJ92" s="97"/>
      <c r="IK92" s="97"/>
      <c r="IL92" s="97"/>
      <c r="IM92" s="97"/>
      <c r="IN92" s="97"/>
      <c r="IO92" s="97"/>
      <c r="IP92" s="97"/>
      <c r="IQ92" s="97"/>
      <c r="IR92" s="97"/>
      <c r="IS92" s="97"/>
      <c r="IT92" s="97"/>
      <c r="IU92" s="97"/>
      <c r="IV92" s="97"/>
    </row>
    <row r="93" spans="1:256" s="98" customFormat="1">
      <c r="A93" s="10"/>
      <c r="B93" s="2"/>
      <c r="C93" s="103"/>
      <c r="D93" s="96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18"/>
      <c r="Y93" s="18"/>
      <c r="Z93" s="18"/>
      <c r="AA93" s="18"/>
      <c r="AB93" s="18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S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E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Q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C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  <c r="EO93" s="97"/>
      <c r="EP93" s="97"/>
      <c r="EQ93" s="97"/>
      <c r="ER93" s="97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  <c r="FD93" s="97"/>
      <c r="FE93" s="97"/>
      <c r="FF93" s="97"/>
      <c r="FG93" s="97"/>
      <c r="FH93" s="97"/>
      <c r="FI93" s="97"/>
      <c r="FJ93" s="97"/>
      <c r="FK93" s="97"/>
      <c r="FL93" s="97"/>
      <c r="FM93" s="97"/>
      <c r="FN93" s="97"/>
      <c r="FO93" s="97"/>
      <c r="FP93" s="97"/>
      <c r="FQ93" s="97"/>
      <c r="FR93" s="97"/>
      <c r="FS93" s="97"/>
      <c r="FT93" s="97"/>
      <c r="FU93" s="97"/>
      <c r="FV93" s="97"/>
      <c r="FW93" s="97"/>
      <c r="FX93" s="97"/>
      <c r="FY93" s="97"/>
      <c r="FZ93" s="97"/>
      <c r="GA93" s="97"/>
      <c r="GB93" s="97"/>
      <c r="GC93" s="97"/>
      <c r="GD93" s="97"/>
      <c r="GE93" s="97"/>
      <c r="GF93" s="97"/>
      <c r="GG93" s="97"/>
      <c r="GH93" s="97"/>
      <c r="GI93" s="97"/>
      <c r="GJ93" s="97"/>
      <c r="GK93" s="97"/>
      <c r="GL93" s="97"/>
      <c r="GM93" s="97"/>
      <c r="GN93" s="97"/>
      <c r="GO93" s="97"/>
      <c r="GP93" s="97"/>
      <c r="GQ93" s="97"/>
      <c r="GR93" s="97"/>
      <c r="GS93" s="97"/>
      <c r="GT93" s="97"/>
      <c r="GU93" s="97"/>
      <c r="GV93" s="97"/>
      <c r="GW93" s="97"/>
      <c r="GX93" s="97"/>
      <c r="GY93" s="97"/>
      <c r="GZ93" s="97"/>
      <c r="HA93" s="97"/>
      <c r="HB93" s="97"/>
      <c r="HC93" s="97"/>
      <c r="HD93" s="97"/>
      <c r="HE93" s="97"/>
      <c r="HF93" s="97"/>
      <c r="HG93" s="97"/>
      <c r="HH93" s="97"/>
      <c r="HI93" s="97"/>
      <c r="HJ93" s="97"/>
      <c r="HK93" s="97"/>
      <c r="HL93" s="97"/>
      <c r="HM93" s="97"/>
      <c r="HN93" s="97"/>
      <c r="HO93" s="97"/>
      <c r="HP93" s="97"/>
      <c r="HQ93" s="97"/>
      <c r="HR93" s="97"/>
      <c r="HS93" s="97"/>
      <c r="HT93" s="97"/>
      <c r="HU93" s="97"/>
      <c r="HV93" s="97"/>
      <c r="HW93" s="97"/>
      <c r="HX93" s="97"/>
      <c r="HY93" s="97"/>
      <c r="HZ93" s="97"/>
      <c r="IA93" s="97"/>
      <c r="IB93" s="97"/>
      <c r="IC93" s="97"/>
      <c r="ID93" s="97"/>
      <c r="IE93" s="97"/>
      <c r="IF93" s="97"/>
      <c r="IG93" s="97"/>
      <c r="IH93" s="97"/>
      <c r="II93" s="97"/>
      <c r="IJ93" s="97"/>
      <c r="IK93" s="97"/>
      <c r="IL93" s="97"/>
      <c r="IM93" s="97"/>
      <c r="IN93" s="97"/>
      <c r="IO93" s="97"/>
      <c r="IP93" s="97"/>
      <c r="IQ93" s="97"/>
      <c r="IR93" s="97"/>
      <c r="IS93" s="97"/>
      <c r="IT93" s="97"/>
      <c r="IU93" s="97"/>
      <c r="IV93" s="97"/>
    </row>
    <row r="94" spans="1:256" s="98" customFormat="1">
      <c r="A94" s="10"/>
      <c r="B94" s="2"/>
      <c r="C94" s="103"/>
      <c r="D94" s="96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18"/>
      <c r="Y94" s="18"/>
      <c r="Z94" s="18"/>
      <c r="AA94" s="18"/>
      <c r="AB94" s="18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S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  <c r="GH94" s="97"/>
      <c r="GI94" s="97"/>
      <c r="GJ94" s="97"/>
      <c r="GK94" s="97"/>
      <c r="GL94" s="97"/>
      <c r="GM94" s="97"/>
      <c r="GN94" s="97"/>
      <c r="GO94" s="97"/>
      <c r="GP94" s="97"/>
      <c r="GQ94" s="97"/>
      <c r="GR94" s="97"/>
      <c r="GS94" s="97"/>
      <c r="GT94" s="97"/>
      <c r="GU94" s="97"/>
      <c r="GV94" s="97"/>
      <c r="GW94" s="97"/>
      <c r="GX94" s="97"/>
      <c r="GY94" s="97"/>
      <c r="GZ94" s="97"/>
      <c r="HA94" s="97"/>
      <c r="HB94" s="97"/>
      <c r="HC94" s="97"/>
      <c r="HD94" s="97"/>
      <c r="HE94" s="97"/>
      <c r="HF94" s="97"/>
      <c r="HG94" s="97"/>
      <c r="HH94" s="97"/>
      <c r="HI94" s="97"/>
      <c r="HJ94" s="97"/>
      <c r="HK94" s="97"/>
      <c r="HL94" s="97"/>
      <c r="HM94" s="97"/>
      <c r="HN94" s="97"/>
      <c r="HO94" s="97"/>
      <c r="HP94" s="97"/>
      <c r="HQ94" s="97"/>
      <c r="HR94" s="97"/>
      <c r="HS94" s="97"/>
      <c r="HT94" s="97"/>
      <c r="HU94" s="97"/>
      <c r="HV94" s="97"/>
      <c r="HW94" s="97"/>
      <c r="HX94" s="97"/>
      <c r="HY94" s="97"/>
      <c r="HZ94" s="97"/>
      <c r="IA94" s="97"/>
      <c r="IB94" s="97"/>
      <c r="IC94" s="97"/>
      <c r="ID94" s="97"/>
      <c r="IE94" s="97"/>
      <c r="IF94" s="97"/>
      <c r="IG94" s="97"/>
      <c r="IH94" s="97"/>
      <c r="II94" s="97"/>
      <c r="IJ94" s="97"/>
      <c r="IK94" s="97"/>
      <c r="IL94" s="97"/>
      <c r="IM94" s="97"/>
      <c r="IN94" s="97"/>
      <c r="IO94" s="97"/>
      <c r="IP94" s="97"/>
      <c r="IQ94" s="97"/>
      <c r="IR94" s="97"/>
      <c r="IS94" s="97"/>
      <c r="IT94" s="97"/>
      <c r="IU94" s="97"/>
      <c r="IV94" s="97"/>
    </row>
    <row r="95" spans="1:256" s="98" customFormat="1">
      <c r="A95" s="10"/>
      <c r="B95" s="2"/>
      <c r="C95" s="103"/>
      <c r="D95" s="96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18"/>
      <c r="Y95" s="18"/>
      <c r="Z95" s="18"/>
      <c r="AA95" s="18"/>
      <c r="AB95" s="18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Q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C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  <c r="EO95" s="97"/>
      <c r="EP95" s="97"/>
      <c r="EQ95" s="97"/>
      <c r="ER95" s="97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  <c r="FD95" s="97"/>
      <c r="FE95" s="97"/>
      <c r="FF95" s="97"/>
      <c r="FG95" s="97"/>
      <c r="FH95" s="97"/>
      <c r="FI95" s="97"/>
      <c r="FJ95" s="97"/>
      <c r="FK95" s="97"/>
      <c r="FL95" s="97"/>
      <c r="FM95" s="97"/>
      <c r="FN95" s="97"/>
      <c r="FO95" s="97"/>
      <c r="FP95" s="97"/>
      <c r="FQ95" s="97"/>
      <c r="FR95" s="97"/>
      <c r="FS95" s="97"/>
      <c r="FT95" s="97"/>
      <c r="FU95" s="97"/>
      <c r="FV95" s="97"/>
      <c r="FW95" s="97"/>
      <c r="FX95" s="97"/>
      <c r="FY95" s="97"/>
      <c r="FZ95" s="97"/>
      <c r="GA95" s="97"/>
      <c r="GB95" s="97"/>
      <c r="GC95" s="97"/>
      <c r="GD95" s="97"/>
      <c r="GE95" s="97"/>
      <c r="GF95" s="97"/>
      <c r="GG95" s="97"/>
      <c r="GH95" s="97"/>
      <c r="GI95" s="97"/>
      <c r="GJ95" s="97"/>
      <c r="GK95" s="97"/>
      <c r="GL95" s="97"/>
      <c r="GM95" s="97"/>
      <c r="GN95" s="97"/>
      <c r="GO95" s="97"/>
      <c r="GP95" s="97"/>
      <c r="GQ95" s="97"/>
      <c r="GR95" s="97"/>
      <c r="GS95" s="97"/>
      <c r="GT95" s="97"/>
      <c r="GU95" s="97"/>
      <c r="GV95" s="97"/>
      <c r="GW95" s="97"/>
      <c r="GX95" s="97"/>
      <c r="GY95" s="97"/>
      <c r="GZ95" s="97"/>
      <c r="HA95" s="97"/>
      <c r="HB95" s="97"/>
      <c r="HC95" s="97"/>
      <c r="HD95" s="97"/>
      <c r="HE95" s="97"/>
      <c r="HF95" s="97"/>
      <c r="HG95" s="97"/>
      <c r="HH95" s="97"/>
      <c r="HI95" s="97"/>
      <c r="HJ95" s="97"/>
      <c r="HK95" s="97"/>
      <c r="HL95" s="97"/>
      <c r="HM95" s="97"/>
      <c r="HN95" s="97"/>
      <c r="HO95" s="97"/>
      <c r="HP95" s="97"/>
      <c r="HQ95" s="97"/>
      <c r="HR95" s="97"/>
      <c r="HS95" s="97"/>
      <c r="HT95" s="97"/>
      <c r="HU95" s="97"/>
      <c r="HV95" s="97"/>
      <c r="HW95" s="97"/>
      <c r="HX95" s="97"/>
      <c r="HY95" s="97"/>
      <c r="HZ95" s="97"/>
      <c r="IA95" s="97"/>
      <c r="IB95" s="97"/>
      <c r="IC95" s="97"/>
      <c r="ID95" s="97"/>
      <c r="IE95" s="97"/>
      <c r="IF95" s="97"/>
      <c r="IG95" s="97"/>
      <c r="IH95" s="97"/>
      <c r="II95" s="97"/>
      <c r="IJ95" s="97"/>
      <c r="IK95" s="97"/>
      <c r="IL95" s="97"/>
      <c r="IM95" s="97"/>
      <c r="IN95" s="97"/>
      <c r="IO95" s="97"/>
      <c r="IP95" s="97"/>
      <c r="IQ95" s="97"/>
      <c r="IR95" s="97"/>
      <c r="IS95" s="97"/>
      <c r="IT95" s="97"/>
      <c r="IU95" s="97"/>
      <c r="IV95" s="97"/>
    </row>
    <row r="96" spans="1:256" s="98" customFormat="1">
      <c r="A96" s="10"/>
      <c r="B96" s="2"/>
      <c r="C96" s="103"/>
      <c r="D96" s="96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18"/>
      <c r="Y96" s="18"/>
      <c r="Z96" s="18"/>
      <c r="AA96" s="18"/>
      <c r="AB96" s="18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7"/>
      <c r="IL96" s="97"/>
      <c r="IM96" s="97"/>
      <c r="IN96" s="97"/>
      <c r="IO96" s="97"/>
      <c r="IP96" s="97"/>
      <c r="IQ96" s="97"/>
      <c r="IR96" s="97"/>
      <c r="IS96" s="97"/>
      <c r="IT96" s="97"/>
      <c r="IU96" s="97"/>
      <c r="IV96" s="97"/>
    </row>
    <row r="97" spans="1:256" s="98" customFormat="1">
      <c r="A97" s="10"/>
      <c r="B97" s="2"/>
      <c r="C97" s="103"/>
      <c r="D97" s="96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18"/>
      <c r="Y97" s="18"/>
      <c r="Z97" s="18"/>
      <c r="AA97" s="18"/>
      <c r="AB97" s="18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97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7"/>
      <c r="IL97" s="97"/>
      <c r="IM97" s="97"/>
      <c r="IN97" s="97"/>
      <c r="IO97" s="97"/>
      <c r="IP97" s="97"/>
      <c r="IQ97" s="97"/>
      <c r="IR97" s="97"/>
      <c r="IS97" s="97"/>
      <c r="IT97" s="97"/>
      <c r="IU97" s="97"/>
      <c r="IV97" s="97"/>
    </row>
    <row r="98" spans="1:256" s="98" customFormat="1">
      <c r="A98" s="10"/>
      <c r="B98" s="2"/>
      <c r="C98" s="103"/>
      <c r="D98" s="96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8"/>
      <c r="Y98" s="18"/>
      <c r="Z98" s="18"/>
      <c r="AA98" s="18"/>
      <c r="AB98" s="18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  <c r="IL98" s="97"/>
      <c r="IM98" s="97"/>
      <c r="IN98" s="97"/>
      <c r="IO98" s="97"/>
      <c r="IP98" s="97"/>
      <c r="IQ98" s="97"/>
      <c r="IR98" s="97"/>
      <c r="IS98" s="97"/>
      <c r="IT98" s="97"/>
      <c r="IU98" s="97"/>
      <c r="IV98" s="97"/>
    </row>
    <row r="99" spans="1:256" s="98" customFormat="1">
      <c r="A99" s="10"/>
      <c r="B99" s="2"/>
      <c r="C99" s="103"/>
      <c r="D99" s="96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8"/>
      <c r="Y99" s="18"/>
      <c r="Z99" s="18"/>
      <c r="AA99" s="18"/>
      <c r="AB99" s="18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  <c r="HE99" s="97"/>
      <c r="HF99" s="97"/>
      <c r="HG99" s="97"/>
      <c r="HH99" s="97"/>
      <c r="HI99" s="97"/>
      <c r="HJ99" s="97"/>
      <c r="HK99" s="97"/>
      <c r="HL99" s="97"/>
      <c r="HM99" s="97"/>
      <c r="HN99" s="97"/>
      <c r="HO99" s="97"/>
      <c r="HP99" s="97"/>
      <c r="HQ99" s="97"/>
      <c r="HR99" s="97"/>
      <c r="HS99" s="97"/>
      <c r="HT99" s="97"/>
      <c r="HU99" s="97"/>
      <c r="HV99" s="97"/>
      <c r="HW99" s="97"/>
      <c r="HX99" s="97"/>
      <c r="HY99" s="97"/>
      <c r="HZ99" s="97"/>
      <c r="IA99" s="97"/>
      <c r="IB99" s="97"/>
      <c r="IC99" s="97"/>
      <c r="ID99" s="97"/>
      <c r="IE99" s="97"/>
      <c r="IF99" s="97"/>
      <c r="IG99" s="97"/>
      <c r="IH99" s="97"/>
      <c r="II99" s="97"/>
      <c r="IJ99" s="97"/>
      <c r="IK99" s="97"/>
      <c r="IL99" s="97"/>
      <c r="IM99" s="97"/>
      <c r="IN99" s="97"/>
      <c r="IO99" s="97"/>
      <c r="IP99" s="97"/>
      <c r="IQ99" s="97"/>
      <c r="IR99" s="97"/>
      <c r="IS99" s="97"/>
      <c r="IT99" s="97"/>
      <c r="IU99" s="97"/>
      <c r="IV99" s="97"/>
    </row>
    <row r="100" spans="1:256" s="98" customFormat="1">
      <c r="A100" s="10"/>
      <c r="B100" s="2"/>
      <c r="C100" s="103"/>
      <c r="D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18"/>
      <c r="Y100" s="18"/>
      <c r="Z100" s="18"/>
      <c r="AA100" s="18"/>
      <c r="AB100" s="18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7"/>
      <c r="IL100" s="97"/>
      <c r="IM100" s="97"/>
      <c r="IN100" s="97"/>
      <c r="IO100" s="97"/>
      <c r="IP100" s="97"/>
      <c r="IQ100" s="97"/>
      <c r="IR100" s="97"/>
      <c r="IS100" s="97"/>
      <c r="IT100" s="97"/>
      <c r="IU100" s="97"/>
      <c r="IV100" s="97"/>
    </row>
    <row r="101" spans="1:256" s="98" customFormat="1">
      <c r="A101" s="10"/>
      <c r="B101" s="2"/>
      <c r="C101" s="103"/>
      <c r="D101" s="96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18"/>
      <c r="Y101" s="18"/>
      <c r="Z101" s="18"/>
      <c r="AA101" s="18"/>
      <c r="AB101" s="18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  <c r="IL101" s="97"/>
      <c r="IM101" s="97"/>
      <c r="IN101" s="97"/>
      <c r="IO101" s="97"/>
      <c r="IP101" s="97"/>
      <c r="IQ101" s="97"/>
      <c r="IR101" s="97"/>
      <c r="IS101" s="97"/>
      <c r="IT101" s="97"/>
      <c r="IU101" s="97"/>
      <c r="IV101" s="97"/>
    </row>
    <row r="102" spans="1:256" s="98" customFormat="1">
      <c r="A102" s="10"/>
      <c r="B102" s="2"/>
      <c r="C102" s="103"/>
      <c r="D102" s="96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18"/>
      <c r="Y102" s="18"/>
      <c r="Z102" s="18"/>
      <c r="AA102" s="18"/>
      <c r="AB102" s="18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  <c r="HE102" s="97"/>
      <c r="HF102" s="97"/>
      <c r="HG102" s="97"/>
      <c r="HH102" s="97"/>
      <c r="HI102" s="97"/>
      <c r="HJ102" s="97"/>
      <c r="HK102" s="97"/>
      <c r="HL102" s="97"/>
      <c r="HM102" s="97"/>
      <c r="HN102" s="97"/>
      <c r="HO102" s="97"/>
      <c r="HP102" s="97"/>
      <c r="HQ102" s="97"/>
      <c r="HR102" s="97"/>
      <c r="HS102" s="97"/>
      <c r="HT102" s="97"/>
      <c r="HU102" s="97"/>
      <c r="HV102" s="97"/>
      <c r="HW102" s="97"/>
      <c r="HX102" s="97"/>
      <c r="HY102" s="97"/>
      <c r="HZ102" s="97"/>
      <c r="IA102" s="97"/>
      <c r="IB102" s="97"/>
      <c r="IC102" s="97"/>
      <c r="ID102" s="97"/>
      <c r="IE102" s="97"/>
      <c r="IF102" s="97"/>
      <c r="IG102" s="97"/>
      <c r="IH102" s="97"/>
      <c r="II102" s="97"/>
      <c r="IJ102" s="97"/>
      <c r="IK102" s="97"/>
      <c r="IL102" s="97"/>
      <c r="IM102" s="97"/>
      <c r="IN102" s="97"/>
      <c r="IO102" s="97"/>
      <c r="IP102" s="97"/>
      <c r="IQ102" s="97"/>
      <c r="IR102" s="97"/>
      <c r="IS102" s="97"/>
      <c r="IT102" s="97"/>
      <c r="IU102" s="97"/>
      <c r="IV102" s="97"/>
    </row>
    <row r="103" spans="1:256" s="98" customFormat="1">
      <c r="A103" s="10"/>
      <c r="B103" s="2"/>
      <c r="C103" s="103"/>
      <c r="D103" s="96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18"/>
      <c r="Y103" s="18"/>
      <c r="Z103" s="18"/>
      <c r="AA103" s="18"/>
      <c r="AB103" s="18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7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7"/>
      <c r="DN103" s="97"/>
      <c r="DO103" s="97"/>
      <c r="DP103" s="97"/>
      <c r="DQ103" s="97"/>
      <c r="DR103" s="97"/>
      <c r="DS103" s="97"/>
      <c r="DT103" s="97"/>
      <c r="DU103" s="97"/>
      <c r="DV103" s="97"/>
      <c r="DW103" s="97"/>
      <c r="DX103" s="97"/>
      <c r="DY103" s="97"/>
      <c r="DZ103" s="97"/>
      <c r="EA103" s="97"/>
      <c r="EB103" s="97"/>
      <c r="EC103" s="97"/>
      <c r="ED103" s="97"/>
      <c r="EE103" s="97"/>
      <c r="EF103" s="97"/>
      <c r="EG103" s="97"/>
      <c r="EH103" s="97"/>
      <c r="EI103" s="97"/>
      <c r="EJ103" s="97"/>
      <c r="EK103" s="97"/>
      <c r="EL103" s="97"/>
      <c r="EM103" s="97"/>
      <c r="EN103" s="97"/>
      <c r="EO103" s="97"/>
      <c r="EP103" s="97"/>
      <c r="EQ103" s="97"/>
      <c r="ER103" s="97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  <c r="FD103" s="97"/>
      <c r="FE103" s="97"/>
      <c r="FF103" s="97"/>
      <c r="FG103" s="97"/>
      <c r="FH103" s="97"/>
      <c r="FI103" s="97"/>
      <c r="FJ103" s="97"/>
      <c r="FK103" s="97"/>
      <c r="FL103" s="97"/>
      <c r="FM103" s="97"/>
      <c r="FN103" s="97"/>
      <c r="FO103" s="97"/>
      <c r="FP103" s="97"/>
      <c r="FQ103" s="97"/>
      <c r="FR103" s="97"/>
      <c r="FS103" s="97"/>
      <c r="FT103" s="97"/>
      <c r="FU103" s="97"/>
      <c r="FV103" s="97"/>
      <c r="FW103" s="97"/>
      <c r="FX103" s="97"/>
      <c r="FY103" s="97"/>
      <c r="FZ103" s="97"/>
      <c r="GA103" s="97"/>
      <c r="GB103" s="97"/>
      <c r="GC103" s="97"/>
      <c r="GD103" s="97"/>
      <c r="GE103" s="97"/>
      <c r="GF103" s="97"/>
      <c r="GG103" s="97"/>
      <c r="GH103" s="97"/>
      <c r="GI103" s="97"/>
      <c r="GJ103" s="97"/>
      <c r="GK103" s="97"/>
      <c r="GL103" s="97"/>
      <c r="GM103" s="97"/>
      <c r="GN103" s="97"/>
      <c r="GO103" s="97"/>
      <c r="GP103" s="97"/>
      <c r="GQ103" s="97"/>
      <c r="GR103" s="97"/>
      <c r="GS103" s="97"/>
      <c r="GT103" s="97"/>
      <c r="GU103" s="97"/>
      <c r="GV103" s="97"/>
      <c r="GW103" s="97"/>
      <c r="GX103" s="97"/>
      <c r="GY103" s="97"/>
      <c r="GZ103" s="97"/>
      <c r="HA103" s="97"/>
      <c r="HB103" s="97"/>
      <c r="HC103" s="97"/>
      <c r="HD103" s="97"/>
      <c r="HE103" s="97"/>
      <c r="HF103" s="97"/>
      <c r="HG103" s="97"/>
      <c r="HH103" s="97"/>
      <c r="HI103" s="97"/>
      <c r="HJ103" s="97"/>
      <c r="HK103" s="97"/>
      <c r="HL103" s="97"/>
      <c r="HM103" s="97"/>
      <c r="HN103" s="97"/>
      <c r="HO103" s="97"/>
      <c r="HP103" s="97"/>
      <c r="HQ103" s="97"/>
      <c r="HR103" s="97"/>
      <c r="HS103" s="97"/>
      <c r="HT103" s="97"/>
      <c r="HU103" s="97"/>
      <c r="HV103" s="97"/>
      <c r="HW103" s="97"/>
      <c r="HX103" s="97"/>
      <c r="HY103" s="97"/>
      <c r="HZ103" s="97"/>
      <c r="IA103" s="97"/>
      <c r="IB103" s="97"/>
      <c r="IC103" s="97"/>
      <c r="ID103" s="97"/>
      <c r="IE103" s="97"/>
      <c r="IF103" s="97"/>
      <c r="IG103" s="97"/>
      <c r="IH103" s="97"/>
      <c r="II103" s="97"/>
      <c r="IJ103" s="97"/>
      <c r="IK103" s="97"/>
      <c r="IL103" s="97"/>
      <c r="IM103" s="97"/>
      <c r="IN103" s="97"/>
      <c r="IO103" s="97"/>
      <c r="IP103" s="97"/>
      <c r="IQ103" s="97"/>
      <c r="IR103" s="97"/>
      <c r="IS103" s="97"/>
      <c r="IT103" s="97"/>
      <c r="IU103" s="97"/>
      <c r="IV103" s="97"/>
    </row>
    <row r="104" spans="1:256" s="98" customFormat="1">
      <c r="A104" s="10"/>
      <c r="B104" s="2"/>
      <c r="C104" s="103"/>
      <c r="D104" s="96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18"/>
      <c r="Y104" s="18"/>
      <c r="Z104" s="18"/>
      <c r="AA104" s="18"/>
      <c r="AB104" s="18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97"/>
      <c r="HA104" s="97"/>
      <c r="HB104" s="97"/>
      <c r="HC104" s="97"/>
      <c r="HD104" s="97"/>
      <c r="HE104" s="97"/>
      <c r="HF104" s="97"/>
      <c r="HG104" s="97"/>
      <c r="HH104" s="97"/>
      <c r="HI104" s="97"/>
      <c r="HJ104" s="97"/>
      <c r="HK104" s="97"/>
      <c r="HL104" s="97"/>
      <c r="HM104" s="97"/>
      <c r="HN104" s="97"/>
      <c r="HO104" s="97"/>
      <c r="HP104" s="97"/>
      <c r="HQ104" s="97"/>
      <c r="HR104" s="97"/>
      <c r="HS104" s="97"/>
      <c r="HT104" s="97"/>
      <c r="HU104" s="97"/>
      <c r="HV104" s="97"/>
      <c r="HW104" s="97"/>
      <c r="HX104" s="97"/>
      <c r="HY104" s="97"/>
      <c r="HZ104" s="97"/>
      <c r="IA104" s="97"/>
      <c r="IB104" s="97"/>
      <c r="IC104" s="97"/>
      <c r="ID104" s="97"/>
      <c r="IE104" s="97"/>
      <c r="IF104" s="97"/>
      <c r="IG104" s="97"/>
      <c r="IH104" s="97"/>
      <c r="II104" s="97"/>
      <c r="IJ104" s="97"/>
      <c r="IK104" s="97"/>
      <c r="IL104" s="97"/>
      <c r="IM104" s="97"/>
      <c r="IN104" s="97"/>
      <c r="IO104" s="97"/>
      <c r="IP104" s="97"/>
      <c r="IQ104" s="97"/>
      <c r="IR104" s="97"/>
      <c r="IS104" s="97"/>
      <c r="IT104" s="97"/>
      <c r="IU104" s="97"/>
      <c r="IV104" s="97"/>
    </row>
    <row r="105" spans="1:256" s="98" customFormat="1">
      <c r="A105" s="10"/>
      <c r="B105" s="2"/>
      <c r="C105" s="103"/>
      <c r="D105" s="96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18"/>
      <c r="Y105" s="18"/>
      <c r="Z105" s="18"/>
      <c r="AA105" s="18"/>
      <c r="AB105" s="18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97"/>
      <c r="HH105" s="97"/>
      <c r="HI105" s="97"/>
      <c r="HJ105" s="97"/>
      <c r="HK105" s="97"/>
      <c r="HL105" s="97"/>
      <c r="HM105" s="97"/>
      <c r="HN105" s="97"/>
      <c r="HO105" s="97"/>
      <c r="HP105" s="97"/>
      <c r="HQ105" s="97"/>
      <c r="HR105" s="97"/>
      <c r="HS105" s="97"/>
      <c r="HT105" s="97"/>
      <c r="HU105" s="97"/>
      <c r="HV105" s="97"/>
      <c r="HW105" s="97"/>
      <c r="HX105" s="97"/>
      <c r="HY105" s="97"/>
      <c r="HZ105" s="97"/>
      <c r="IA105" s="97"/>
      <c r="IB105" s="97"/>
      <c r="IC105" s="97"/>
      <c r="ID105" s="97"/>
      <c r="IE105" s="97"/>
      <c r="IF105" s="97"/>
      <c r="IG105" s="97"/>
      <c r="IH105" s="97"/>
      <c r="II105" s="97"/>
      <c r="IJ105" s="97"/>
      <c r="IK105" s="97"/>
      <c r="IL105" s="97"/>
      <c r="IM105" s="97"/>
      <c r="IN105" s="97"/>
      <c r="IO105" s="97"/>
      <c r="IP105" s="97"/>
      <c r="IQ105" s="97"/>
      <c r="IR105" s="97"/>
      <c r="IS105" s="97"/>
      <c r="IT105" s="97"/>
      <c r="IU105" s="97"/>
      <c r="IV105" s="97"/>
    </row>
    <row r="106" spans="1:256" s="98" customFormat="1">
      <c r="A106" s="10"/>
      <c r="B106" s="2"/>
      <c r="C106" s="103"/>
      <c r="D106" s="96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18"/>
      <c r="Y106" s="18"/>
      <c r="Z106" s="18"/>
      <c r="AA106" s="18"/>
      <c r="AB106" s="18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  <c r="HP106" s="97"/>
      <c r="HQ106" s="97"/>
      <c r="HR106" s="97"/>
      <c r="HS106" s="97"/>
      <c r="HT106" s="97"/>
      <c r="HU106" s="97"/>
      <c r="HV106" s="97"/>
      <c r="HW106" s="97"/>
      <c r="HX106" s="97"/>
      <c r="HY106" s="97"/>
      <c r="HZ106" s="97"/>
      <c r="IA106" s="97"/>
      <c r="IB106" s="97"/>
      <c r="IC106" s="97"/>
      <c r="ID106" s="97"/>
      <c r="IE106" s="97"/>
      <c r="IF106" s="97"/>
      <c r="IG106" s="97"/>
      <c r="IH106" s="97"/>
      <c r="II106" s="97"/>
      <c r="IJ106" s="97"/>
      <c r="IK106" s="97"/>
      <c r="IL106" s="97"/>
      <c r="IM106" s="97"/>
      <c r="IN106" s="97"/>
      <c r="IO106" s="97"/>
      <c r="IP106" s="97"/>
      <c r="IQ106" s="97"/>
      <c r="IR106" s="97"/>
      <c r="IS106" s="97"/>
      <c r="IT106" s="97"/>
      <c r="IU106" s="97"/>
      <c r="IV106" s="97"/>
    </row>
    <row r="107" spans="1:256" s="98" customFormat="1">
      <c r="A107" s="10"/>
      <c r="B107" s="2"/>
      <c r="C107" s="103"/>
      <c r="D107" s="96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18"/>
      <c r="Y107" s="18"/>
      <c r="Z107" s="18"/>
      <c r="AA107" s="18"/>
      <c r="AB107" s="18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97"/>
      <c r="HH107" s="97"/>
      <c r="HI107" s="97"/>
      <c r="HJ107" s="97"/>
      <c r="HK107" s="97"/>
      <c r="HL107" s="97"/>
      <c r="HM107" s="97"/>
      <c r="HN107" s="97"/>
      <c r="HO107" s="97"/>
      <c r="HP107" s="97"/>
      <c r="HQ107" s="97"/>
      <c r="HR107" s="97"/>
      <c r="HS107" s="97"/>
      <c r="HT107" s="97"/>
      <c r="HU107" s="97"/>
      <c r="HV107" s="97"/>
      <c r="HW107" s="97"/>
      <c r="HX107" s="97"/>
      <c r="HY107" s="97"/>
      <c r="HZ107" s="97"/>
      <c r="IA107" s="97"/>
      <c r="IB107" s="97"/>
      <c r="IC107" s="97"/>
      <c r="ID107" s="97"/>
      <c r="IE107" s="97"/>
      <c r="IF107" s="97"/>
      <c r="IG107" s="97"/>
      <c r="IH107" s="97"/>
      <c r="II107" s="97"/>
      <c r="IJ107" s="97"/>
      <c r="IK107" s="97"/>
      <c r="IL107" s="97"/>
      <c r="IM107" s="97"/>
      <c r="IN107" s="97"/>
      <c r="IO107" s="97"/>
      <c r="IP107" s="97"/>
      <c r="IQ107" s="97"/>
      <c r="IR107" s="97"/>
      <c r="IS107" s="97"/>
      <c r="IT107" s="97"/>
      <c r="IU107" s="97"/>
      <c r="IV107" s="97"/>
    </row>
    <row r="108" spans="1:256" s="98" customFormat="1">
      <c r="A108" s="10"/>
      <c r="B108" s="2"/>
      <c r="C108" s="103"/>
      <c r="D108" s="96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18"/>
      <c r="Y108" s="18"/>
      <c r="Z108" s="18"/>
      <c r="AA108" s="18"/>
      <c r="AB108" s="18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7"/>
      <c r="CO108" s="97"/>
      <c r="CP108" s="97"/>
      <c r="CQ108" s="97"/>
      <c r="CR108" s="97"/>
      <c r="CS108" s="97"/>
      <c r="CT108" s="97"/>
      <c r="CU108" s="97"/>
      <c r="CV108" s="97"/>
      <c r="CW108" s="97"/>
      <c r="CX108" s="97"/>
      <c r="CY108" s="97"/>
      <c r="CZ108" s="97"/>
      <c r="DA108" s="97"/>
      <c r="DB108" s="97"/>
      <c r="DC108" s="97"/>
      <c r="DD108" s="97"/>
      <c r="DE108" s="97"/>
      <c r="DF108" s="97"/>
      <c r="DG108" s="97"/>
      <c r="DH108" s="97"/>
      <c r="DI108" s="97"/>
      <c r="DJ108" s="97"/>
      <c r="DK108" s="97"/>
      <c r="DL108" s="97"/>
      <c r="DM108" s="97"/>
      <c r="DN108" s="97"/>
      <c r="DO108" s="97"/>
      <c r="DP108" s="97"/>
      <c r="DQ108" s="97"/>
      <c r="DR108" s="97"/>
      <c r="DS108" s="97"/>
      <c r="DT108" s="97"/>
      <c r="DU108" s="97"/>
      <c r="DV108" s="97"/>
      <c r="DW108" s="97"/>
      <c r="DX108" s="97"/>
      <c r="DY108" s="97"/>
      <c r="DZ108" s="97"/>
      <c r="EA108" s="97"/>
      <c r="EB108" s="97"/>
      <c r="EC108" s="97"/>
      <c r="ED108" s="97"/>
      <c r="EE108" s="97"/>
      <c r="EF108" s="97"/>
      <c r="EG108" s="97"/>
      <c r="EH108" s="97"/>
      <c r="EI108" s="97"/>
      <c r="EJ108" s="97"/>
      <c r="EK108" s="97"/>
      <c r="EL108" s="97"/>
      <c r="EM108" s="97"/>
      <c r="EN108" s="97"/>
      <c r="EO108" s="97"/>
      <c r="EP108" s="97"/>
      <c r="EQ108" s="97"/>
      <c r="ER108" s="97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  <c r="FD108" s="97"/>
      <c r="FE108" s="97"/>
      <c r="FF108" s="97"/>
      <c r="FG108" s="97"/>
      <c r="FH108" s="97"/>
      <c r="FI108" s="97"/>
      <c r="FJ108" s="97"/>
      <c r="FK108" s="97"/>
      <c r="FL108" s="97"/>
      <c r="FM108" s="97"/>
      <c r="FN108" s="97"/>
      <c r="FO108" s="97"/>
      <c r="FP108" s="97"/>
      <c r="FQ108" s="97"/>
      <c r="FR108" s="97"/>
      <c r="FS108" s="97"/>
      <c r="FT108" s="97"/>
      <c r="FU108" s="97"/>
      <c r="FV108" s="97"/>
      <c r="FW108" s="97"/>
      <c r="FX108" s="97"/>
      <c r="FY108" s="97"/>
      <c r="FZ108" s="97"/>
      <c r="GA108" s="97"/>
      <c r="GB108" s="97"/>
      <c r="GC108" s="97"/>
      <c r="GD108" s="97"/>
      <c r="GE108" s="97"/>
      <c r="GF108" s="97"/>
      <c r="GG108" s="97"/>
      <c r="GH108" s="97"/>
      <c r="GI108" s="97"/>
      <c r="GJ108" s="97"/>
      <c r="GK108" s="97"/>
      <c r="GL108" s="97"/>
      <c r="GM108" s="97"/>
      <c r="GN108" s="97"/>
      <c r="GO108" s="97"/>
      <c r="GP108" s="97"/>
      <c r="GQ108" s="97"/>
      <c r="GR108" s="97"/>
      <c r="GS108" s="97"/>
      <c r="GT108" s="97"/>
      <c r="GU108" s="97"/>
      <c r="GV108" s="97"/>
      <c r="GW108" s="97"/>
      <c r="GX108" s="97"/>
      <c r="GY108" s="97"/>
      <c r="GZ108" s="97"/>
      <c r="HA108" s="97"/>
      <c r="HB108" s="97"/>
      <c r="HC108" s="97"/>
      <c r="HD108" s="97"/>
      <c r="HE108" s="97"/>
      <c r="HF108" s="97"/>
      <c r="HG108" s="97"/>
      <c r="HH108" s="97"/>
      <c r="HI108" s="97"/>
      <c r="HJ108" s="97"/>
      <c r="HK108" s="97"/>
      <c r="HL108" s="97"/>
      <c r="HM108" s="97"/>
      <c r="HN108" s="97"/>
      <c r="HO108" s="97"/>
      <c r="HP108" s="97"/>
      <c r="HQ108" s="97"/>
      <c r="HR108" s="97"/>
      <c r="HS108" s="97"/>
      <c r="HT108" s="97"/>
      <c r="HU108" s="97"/>
      <c r="HV108" s="97"/>
      <c r="HW108" s="97"/>
      <c r="HX108" s="97"/>
      <c r="HY108" s="97"/>
      <c r="HZ108" s="97"/>
      <c r="IA108" s="97"/>
      <c r="IB108" s="97"/>
      <c r="IC108" s="97"/>
      <c r="ID108" s="97"/>
      <c r="IE108" s="97"/>
      <c r="IF108" s="97"/>
      <c r="IG108" s="97"/>
      <c r="IH108" s="97"/>
      <c r="II108" s="97"/>
      <c r="IJ108" s="97"/>
      <c r="IK108" s="97"/>
      <c r="IL108" s="97"/>
      <c r="IM108" s="97"/>
      <c r="IN108" s="97"/>
      <c r="IO108" s="97"/>
      <c r="IP108" s="97"/>
      <c r="IQ108" s="97"/>
      <c r="IR108" s="97"/>
      <c r="IS108" s="97"/>
      <c r="IT108" s="97"/>
      <c r="IU108" s="97"/>
      <c r="IV108" s="97"/>
    </row>
    <row r="109" spans="1:256" s="98" customFormat="1">
      <c r="A109" s="10"/>
      <c r="B109" s="2"/>
      <c r="C109" s="103"/>
      <c r="D109" s="96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18"/>
      <c r="Y109" s="18"/>
      <c r="Z109" s="18"/>
      <c r="AA109" s="18"/>
      <c r="AB109" s="18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97"/>
      <c r="HA109" s="97"/>
      <c r="HB109" s="97"/>
      <c r="HC109" s="97"/>
      <c r="HD109" s="97"/>
      <c r="HE109" s="97"/>
      <c r="HF109" s="97"/>
      <c r="HG109" s="97"/>
      <c r="HH109" s="97"/>
      <c r="HI109" s="97"/>
      <c r="HJ109" s="97"/>
      <c r="HK109" s="97"/>
      <c r="HL109" s="97"/>
      <c r="HM109" s="97"/>
      <c r="HN109" s="97"/>
      <c r="HO109" s="97"/>
      <c r="HP109" s="97"/>
      <c r="HQ109" s="97"/>
      <c r="HR109" s="97"/>
      <c r="HS109" s="97"/>
      <c r="HT109" s="97"/>
      <c r="HU109" s="97"/>
      <c r="HV109" s="97"/>
      <c r="HW109" s="97"/>
      <c r="HX109" s="97"/>
      <c r="HY109" s="97"/>
      <c r="HZ109" s="97"/>
      <c r="IA109" s="97"/>
      <c r="IB109" s="97"/>
      <c r="IC109" s="97"/>
      <c r="ID109" s="97"/>
      <c r="IE109" s="97"/>
      <c r="IF109" s="97"/>
      <c r="IG109" s="97"/>
      <c r="IH109" s="97"/>
      <c r="II109" s="97"/>
      <c r="IJ109" s="97"/>
      <c r="IK109" s="97"/>
      <c r="IL109" s="97"/>
      <c r="IM109" s="97"/>
      <c r="IN109" s="97"/>
      <c r="IO109" s="97"/>
      <c r="IP109" s="97"/>
      <c r="IQ109" s="97"/>
      <c r="IR109" s="97"/>
      <c r="IS109" s="97"/>
      <c r="IT109" s="97"/>
      <c r="IU109" s="97"/>
      <c r="IV109" s="97"/>
    </row>
    <row r="110" spans="1:256" s="98" customFormat="1">
      <c r="A110" s="10"/>
      <c r="B110" s="2"/>
      <c r="C110" s="103"/>
      <c r="D110" s="96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18"/>
      <c r="Y110" s="18"/>
      <c r="Z110" s="18"/>
      <c r="AA110" s="18"/>
      <c r="AB110" s="18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  <c r="HE110" s="97"/>
      <c r="HF110" s="97"/>
      <c r="HG110" s="97"/>
      <c r="HH110" s="97"/>
      <c r="HI110" s="97"/>
      <c r="HJ110" s="97"/>
      <c r="HK110" s="97"/>
      <c r="HL110" s="97"/>
      <c r="HM110" s="97"/>
      <c r="HN110" s="97"/>
      <c r="HO110" s="97"/>
      <c r="HP110" s="97"/>
      <c r="HQ110" s="97"/>
      <c r="HR110" s="97"/>
      <c r="HS110" s="97"/>
      <c r="HT110" s="97"/>
      <c r="HU110" s="97"/>
      <c r="HV110" s="97"/>
      <c r="HW110" s="97"/>
      <c r="HX110" s="97"/>
      <c r="HY110" s="97"/>
      <c r="HZ110" s="97"/>
      <c r="IA110" s="97"/>
      <c r="IB110" s="97"/>
      <c r="IC110" s="97"/>
      <c r="ID110" s="97"/>
      <c r="IE110" s="97"/>
      <c r="IF110" s="97"/>
      <c r="IG110" s="97"/>
      <c r="IH110" s="97"/>
      <c r="II110" s="97"/>
      <c r="IJ110" s="97"/>
      <c r="IK110" s="97"/>
      <c r="IL110" s="97"/>
      <c r="IM110" s="97"/>
      <c r="IN110" s="97"/>
      <c r="IO110" s="97"/>
      <c r="IP110" s="97"/>
      <c r="IQ110" s="97"/>
      <c r="IR110" s="97"/>
      <c r="IS110" s="97"/>
      <c r="IT110" s="97"/>
      <c r="IU110" s="97"/>
      <c r="IV110" s="97"/>
    </row>
  </sheetData>
  <autoFilter ref="A1:A111"/>
  <pageMargins left="0.19685039370078741" right="0.19685039370078741" top="0" bottom="0" header="0" footer="0"/>
  <pageSetup paperSize="8" scale="48" orientation="landscape" cellComments="asDisplayed" r:id="rId1"/>
  <headerFooter alignWithMargins="0">
    <oddFooter>&amp;L&amp;14&amp;T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Gestão</vt:lpstr>
      <vt:lpstr>Gestão!Area_de_impressao</vt:lpstr>
      <vt:lpstr>Gestão!Titulos_de_impressao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2014-11-27T17:07:28Z</dcterms:created>
  <dcterms:modified xsi:type="dcterms:W3CDTF">2014-11-27T17:54:00Z</dcterms:modified>
</cp:coreProperties>
</file>