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480" yWindow="120" windowWidth="22995" windowHeight="10545" activeTab="2"/>
  </bookViews>
  <sheets>
    <sheet name="Balanço Financeiro " sheetId="1" r:id="rId1"/>
    <sheet name="Balanço Orçamentário MCASP" sheetId="2" r:id="rId2"/>
    <sheet name="Anexos do BO" sheetId="3" r:id="rId3"/>
  </sheets>
  <externalReferences>
    <externalReference r:id="rId6"/>
  </externalReferences>
  <definedNames>
    <definedName name="_xlnm.Print_Area" localSheetId="2">'Anexos do BO'!$A$2:$G$43</definedName>
    <definedName name="_xlnm.Print_Area" localSheetId="0">'Balanço Financeiro '!$A$1:$N$52</definedName>
    <definedName name="_xlnm.Print_Area" localSheetId="1">'Balanço Orçamentário MCASP'!$A$2:$G$76</definedName>
  </definedNames>
  <calcPr fullCalcOnLoad="1"/>
</workbook>
</file>

<file path=xl/sharedStrings.xml><?xml version="1.0" encoding="utf-8"?>
<sst xmlns="http://schemas.openxmlformats.org/spreadsheetml/2006/main" count="215" uniqueCount="141">
  <si>
    <t>FUMCAD_ Fundo Municipal da Criança e do Adolescente</t>
  </si>
  <si>
    <t xml:space="preserve">Balancete Financeiro </t>
  </si>
  <si>
    <t>MARÇO 2014</t>
  </si>
  <si>
    <t>em R$</t>
  </si>
  <si>
    <t>INGRESSOS</t>
  </si>
  <si>
    <t>DISPÊNDIOS</t>
  </si>
  <si>
    <t>ESPECIFICAÇÃO</t>
  </si>
  <si>
    <t>Exercício Atual</t>
  </si>
  <si>
    <t xml:space="preserve">RECEITA ORÇAMENTÁRIA  (I)         </t>
  </si>
  <si>
    <t xml:space="preserve">DESPESA ORÇAMENTÁRIA  (VI)         </t>
  </si>
  <si>
    <t>ORDINÁRIA</t>
  </si>
  <si>
    <t>TESOURO MUNICIPAL</t>
  </si>
  <si>
    <t>RECURSOS PRÓPRIOS DA ADMINISTRAÇÃO INDIRETA</t>
  </si>
  <si>
    <t>RECURSOS PRÓPRIOS DA EMPRESA DEPENDENTE</t>
  </si>
  <si>
    <t>VINCULADA</t>
  </si>
  <si>
    <t>OPERAÇÕES DE CRÉDITO</t>
  </si>
  <si>
    <t>TRANSFERÊNCIAS FEDERAIS</t>
  </si>
  <si>
    <t>TRANSFERÊNCIAS ESTADUAIS</t>
  </si>
  <si>
    <t>FUNDO CONSTITUCIONAL DE EDUCAÇÃO</t>
  </si>
  <si>
    <t>OUTRAS FONTES</t>
  </si>
  <si>
    <t>RECEITA CONDICIONADA</t>
  </si>
  <si>
    <t>TESOURO MUNICIPAL - RECURSO VINCULADO</t>
  </si>
  <si>
    <t xml:space="preserve">TRANSFERÊNCIAS FINANCEIRAS RECEBIDAS  (II)         </t>
  </si>
  <si>
    <t xml:space="preserve">TRANSFERÊNCIAS FINANCEIRAS CONCEDIDAS  (VII)         </t>
  </si>
  <si>
    <t>PARA  EXECUÇÃO ORÇAMENTÁRIA</t>
  </si>
  <si>
    <t>INDEPENDENTES DE EXECUÇÃO ORÇAMENTÁRIA</t>
  </si>
  <si>
    <t>PARA APORTES DE RECURSOS PARA O RPPS</t>
  </si>
  <si>
    <t>PARA APORTES DE RECURSOS PARA O RGPS</t>
  </si>
  <si>
    <t xml:space="preserve">RECEBIMENTOS EXTRAORÇAMENTÁRIOS (III)         </t>
  </si>
  <si>
    <t xml:space="preserve">PAGAMENTOS EXTRAORÇAMENTÁRIOS  (VIII)         </t>
  </si>
  <si>
    <t>EMPENHOS NÃO LIQUIDADOS A PAGAR - TESOURO</t>
  </si>
  <si>
    <t>PAGAMENTOS DE RESTOS A PAGAR NÃO PROCESSADOS - TESOURO</t>
  </si>
  <si>
    <t>EMPENHOS NÃO LIQUIDADOS A PAGAR - OUTRAS FONTES</t>
  </si>
  <si>
    <t>PAGAMENTOS DE RESTOS A PAGAR NÃO PROCESSADOS - OUTRAS FONTES</t>
  </si>
  <si>
    <t>EMPENHOS LIQUIDADOS A PAGAR - TESOURO</t>
  </si>
  <si>
    <t>PAGAMENTOS DE RESTOS A PAGAR PROCESSADOS - TESOURO</t>
  </si>
  <si>
    <t>EMPENHOS LIQUIDADOS A PAGAR - OUTRAS FONTES</t>
  </si>
  <si>
    <t>PAGAMENTOS DE RESTOS A PAGAR PROCESSADOS - OUTRAS FONTES</t>
  </si>
  <si>
    <t>DEPÓSITOS RESTITUÍVEIS E VALORES VINCULADOS</t>
  </si>
  <si>
    <t>OUTROS RECEBIMENTOS EXTRAORÇAMENTÁRIOS</t>
  </si>
  <si>
    <t>OUTROS PAGAMENTOS EXTRAORÇAMENTÁRIOS</t>
  </si>
  <si>
    <t xml:space="preserve">SALDO DO EXERCÍCIO ANTERIOR  (IV)         </t>
  </si>
  <si>
    <t xml:space="preserve">SALDO PARA O EXERCÍCIO SEGUINTE  (IX)         </t>
  </si>
  <si>
    <t>CAIXA E EQUIVALENTES DE CAIXA - TESOURO</t>
  </si>
  <si>
    <t>CAIXA E EQUIVALENTES DE CAIXA - OUTRAS FONTES</t>
  </si>
  <si>
    <t xml:space="preserve">Total (V) = (I+II+III+IV)
</t>
  </si>
  <si>
    <t>Total (X) = (VI+VII+VIII+IX)</t>
  </si>
  <si>
    <t>Fonte: Relatórios do Sistema de Orçamento e Finanças - SOF</t>
  </si>
  <si>
    <t>Notas:</t>
  </si>
  <si>
    <t>1. Em observância a Portaria SF nº 266, de outubro de 2016.</t>
  </si>
  <si>
    <t>2. Os documentos que serviram de base para sua apresentação, encontram-se encartados no Processo SEI nº 6074.2017/0000046-2.</t>
  </si>
  <si>
    <t>4.1. Trata-se de valores de retenções e/ou recursos que transitaram de um mês para o outro.</t>
  </si>
  <si>
    <t>5.1. Trata-se de estorno de depósito indefido, pagamentos extraorçamentários em conta e/ou recursos transferidos para pagamentos na competência seguinte.</t>
  </si>
  <si>
    <t>Cleber Tavares de Souza</t>
  </si>
  <si>
    <t>Patrícia Gama de Quadros Bezerra</t>
  </si>
  <si>
    <t>Analista de Planej. e Desenv. Organiz. - Contador</t>
  </si>
  <si>
    <t>Sec. Mun. de Direitos Humanos e Cidadania</t>
  </si>
  <si>
    <t>CRC 1SP257069/O-3</t>
  </si>
  <si>
    <t>CPF: 884.640.839-04</t>
  </si>
  <si>
    <t>SMDHC</t>
  </si>
  <si>
    <r>
      <t xml:space="preserve">3. </t>
    </r>
    <r>
      <rPr>
        <b/>
        <sz val="7"/>
        <rFont val="Arial"/>
        <family val="2"/>
      </rPr>
      <t>Caixa e Equivalente de Caixa</t>
    </r>
    <r>
      <rPr>
        <sz val="7"/>
        <rFont val="Arial"/>
        <family val="2"/>
      </rPr>
      <t xml:space="preserve"> - conciliado de acordo com as contas correntes do fundo e ajustados para que as entradas e as saídas pertençam a mesma competência.</t>
    </r>
  </si>
  <si>
    <r>
      <t xml:space="preserve">4. </t>
    </r>
    <r>
      <rPr>
        <b/>
        <sz val="7"/>
        <rFont val="Arial"/>
        <family val="2"/>
      </rPr>
      <t>Outros Recebimentos Extraorçamentários</t>
    </r>
  </si>
  <si>
    <r>
      <t xml:space="preserve">5. </t>
    </r>
    <r>
      <rPr>
        <b/>
        <sz val="7"/>
        <rFont val="Arial"/>
        <family val="2"/>
      </rPr>
      <t>Outros Pagamentos Extraorçamentários</t>
    </r>
  </si>
  <si>
    <t>BALANÇO ORÇAMENTÁRIO</t>
  </si>
  <si>
    <t>ORÇAMENTOS FISCAL E DA SEGURIDADE SOCIAL</t>
  </si>
  <si>
    <t>COMPETÊNCIA: MARÇO 2014</t>
  </si>
  <si>
    <t>RECEITAS ORÇAMENTÁRIAS</t>
  </si>
  <si>
    <t>Previsão Inicial (a)</t>
  </si>
  <si>
    <t>Previsão Atualizada (b)</t>
  </si>
  <si>
    <t>Receitas Realizadas ( c )</t>
  </si>
  <si>
    <t>Saldo d= (c-b)</t>
  </si>
  <si>
    <t>Receitas Correntes (I)</t>
  </si>
  <si>
    <t>Receita Tributária</t>
  </si>
  <si>
    <t>Receita de Contribuições</t>
  </si>
  <si>
    <t>Receita Patrimonial</t>
  </si>
  <si>
    <t>Receita Agropecuária</t>
  </si>
  <si>
    <t>Receita Industrial</t>
  </si>
  <si>
    <t>Receita de Serviços</t>
  </si>
  <si>
    <t>Transferências Correntes</t>
  </si>
  <si>
    <t>Outras Receitas Correntes</t>
  </si>
  <si>
    <t>Receitas de Capital (II)</t>
  </si>
  <si>
    <t>Operações de Crédito</t>
  </si>
  <si>
    <t>Alienação de Bens</t>
  </si>
  <si>
    <t>Amortizações de Empréstimos</t>
  </si>
  <si>
    <t>Transferências de Capital</t>
  </si>
  <si>
    <t>Outras Receitas de Capital</t>
  </si>
  <si>
    <t>Recursos Arrecadados em Exercícios Anteriores (III)</t>
  </si>
  <si>
    <t>SUBTOTAL DAS RECEITAS (IV) = (I + II + III)</t>
  </si>
  <si>
    <t>Operações de Crédito / Refinanciamento (V)</t>
  </si>
  <si>
    <t>Operações de Crédito Internas</t>
  </si>
  <si>
    <t>Mobiliária</t>
  </si>
  <si>
    <t>Contratual</t>
  </si>
  <si>
    <t>Operações de Crédito Externas</t>
  </si>
  <si>
    <t>SUBTOTAL COM REFINANCIAMENTO ( VI) = (IV + V)</t>
  </si>
  <si>
    <t>Déficit (VII)</t>
  </si>
  <si>
    <t>TOTAL (VIII) = (VI + VII)</t>
  </si>
  <si>
    <t>SALDOS DE EXERCÍCIO ANTERIORES</t>
  </si>
  <si>
    <t>]</t>
  </si>
  <si>
    <t>Reabertura de Créditos Adicionais</t>
  </si>
  <si>
    <t>DESPESAS ORÇAMENTÁRIAS</t>
  </si>
  <si>
    <t>Dotação Inicial (e)</t>
  </si>
  <si>
    <t>Dotação Atualizada (f)</t>
  </si>
  <si>
    <t>Despesas Empenhadas (g)</t>
  </si>
  <si>
    <t>Despesas Liquidadas (h)</t>
  </si>
  <si>
    <t>Despesas Pagas (i)</t>
  </si>
  <si>
    <t>Saldo da dotação (j) =(f-g)</t>
  </si>
  <si>
    <t>Despesas Correntes (IX)</t>
  </si>
  <si>
    <t>Pessoal e Encargos Sociais</t>
  </si>
  <si>
    <t>Juros e Encargos da Dívida</t>
  </si>
  <si>
    <t>Outras Despesas Correntes</t>
  </si>
  <si>
    <t>Despesas de Capital (X)</t>
  </si>
  <si>
    <t>Investimentos</t>
  </si>
  <si>
    <t>Inversões Financeiras</t>
  </si>
  <si>
    <t>Amortização da Dívida</t>
  </si>
  <si>
    <t>Reserva de Contingência (XI)</t>
  </si>
  <si>
    <t>Reserva do RPPS (XII)</t>
  </si>
  <si>
    <t>SUBTOTAL DAS DESPESAS (XIII) = (IX + X + XI + XII)</t>
  </si>
  <si>
    <t>Amortização da Dívida/ Refinanciamento (XIV)</t>
  </si>
  <si>
    <t>Amortização da Dívida Interna</t>
  </si>
  <si>
    <t>Dívida mobiliária</t>
  </si>
  <si>
    <t>Outras Dívidas</t>
  </si>
  <si>
    <t>Amortização da Dívida Externa</t>
  </si>
  <si>
    <t>Dívida Mobiliária</t>
  </si>
  <si>
    <t>SUBTOTAL COM REFINANCIAMENTO (XV)= (XIII + XIV)</t>
  </si>
  <si>
    <t>Superávit (XVI)</t>
  </si>
  <si>
    <t>TOTAL (XVII) = (XV + XVI)</t>
  </si>
  <si>
    <t>Fonte: Lei Municipal nº 15.950/2013 (estima receita e fixa despesa para 2014), Relatórios do Sistema de Orçamento e Finanças - SOF</t>
  </si>
  <si>
    <t>Secretário Mun. de Direitos Humanos e Cidadania</t>
  </si>
  <si>
    <t>EXECUÇÃO DE RESTOS A PAGAR PROCESSADO E NÃO PROCESSADOS</t>
  </si>
  <si>
    <t>RESTO A PAGAR NÃO PROCESSADO</t>
  </si>
  <si>
    <t>Inscritos</t>
  </si>
  <si>
    <t>Liquidados ( c )</t>
  </si>
  <si>
    <t>Pagos ( d)</t>
  </si>
  <si>
    <t>Cancelados (e)</t>
  </si>
  <si>
    <t>Saldo (f)= (a+b-d-e)</t>
  </si>
  <si>
    <t>Em Exercícios Anteriores (a)</t>
  </si>
  <si>
    <t>Em 31 de Dezembro do Exercicio Anterior (b)</t>
  </si>
  <si>
    <t>Despesas Correntes</t>
  </si>
  <si>
    <t>Despesas de Capital</t>
  </si>
  <si>
    <t>TOTAL</t>
  </si>
  <si>
    <t>RESTO A PAGAR  PROCESSADO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</si>
</sst>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);\(#,##0.00\);\-"/>
    <numFmt numFmtId="165" formatCode="#,##0.00_ ;[Red]\-#,##0.00\ "/>
    <numFmt numFmtId="166" formatCode="_(* #,##0.00_);_(* \(#,##0.00\);_(* \-??_);_(@_)"/>
    <numFmt numFmtId="167" formatCode="&quot;R$ &quot;#,##0.00_);[Red]&quot;(R$ &quot;#,##0.00\)"/>
    <numFmt numFmtId="168" formatCode="[$-416]dddd\,\ d&quot; de &quot;mmmm&quot; de &quot;yyyy"/>
    <numFmt numFmtId="169" formatCode="[$-416]mmmm\-yy;@"/>
    <numFmt numFmtId="170" formatCode="_-* #,##0.000_-;\-* #,##0.000_-;_-* &quot;-&quot;??_-;_-@_-"/>
    <numFmt numFmtId="171" formatCode="_-* #,##0.0000_-;\-* #,##0.00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;@"/>
    <numFmt numFmtId="181" formatCode="[$-416]mmm\-yy;@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#,##0.00;[Red]#,##0.00"/>
  </numFmts>
  <fonts count="37"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sz val="11"/>
      <color indexed="61"/>
      <name val="Calibri"/>
      <family val="2"/>
    </font>
    <font>
      <u val="single"/>
      <sz val="11.5"/>
      <color indexed="12"/>
      <name val="Arial"/>
      <family val="2"/>
    </font>
    <font>
      <u val="single"/>
      <sz val="11.5"/>
      <color indexed="36"/>
      <name val="Arial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indexed="59"/>
      <name val="Calibri"/>
      <family val="2"/>
    </font>
    <font>
      <sz val="10"/>
      <name val="Arial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7"/>
      <color indexed="52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8"/>
      <name val="Calibri"/>
      <family val="2"/>
    </font>
    <font>
      <b/>
      <sz val="8"/>
      <color indexed="5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/>
    </border>
    <border>
      <left style="medium"/>
      <right>
        <color indexed="63"/>
      </right>
      <top>
        <color indexed="63"/>
      </top>
      <bottom/>
    </border>
    <border>
      <left>
        <color indexed="63"/>
      </left>
      <right style="medium"/>
      <top>
        <color indexed="63"/>
      </top>
      <bottom/>
    </border>
    <border>
      <left style="medium"/>
      <right style="medium"/>
      <top/>
      <bottom style="medium"/>
    </border>
    <border>
      <left style="medium"/>
      <right>
        <color indexed="63"/>
      </right>
      <top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6">
    <xf numFmtId="0" fontId="0" fillId="0" borderId="0">
      <alignment vertical="top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4" fillId="11" borderId="1" applyNumberFormat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6" borderId="0" applyNumberFormat="0" applyBorder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12" fillId="7" borderId="0" applyNumberFormat="0" applyBorder="0" applyAlignment="0" applyProtection="0"/>
    <xf numFmtId="0" fontId="13" fillId="0" borderId="0">
      <alignment/>
      <protection/>
    </xf>
    <xf numFmtId="0" fontId="1" fillId="0" borderId="0">
      <alignment/>
      <protection/>
    </xf>
    <xf numFmtId="0" fontId="11" fillId="4" borderId="4" applyNumberFormat="0" applyFont="0" applyAlignment="0" applyProtection="0"/>
    <xf numFmtId="9" fontId="11" fillId="0" borderId="0" applyFont="0" applyFill="0" applyBorder="0" applyAlignment="0" applyProtection="0"/>
    <xf numFmtId="0" fontId="14" fillId="11" borderId="5" applyNumberFormat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166" fontId="13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</cellStyleXfs>
  <cellXfs count="218">
    <xf numFmtId="0" fontId="0" fillId="0" borderId="0" xfId="0" applyAlignment="1">
      <alignment vertical="top"/>
    </xf>
    <xf numFmtId="0" fontId="23" fillId="0" borderId="0" xfId="0" applyFont="1" applyFill="1" applyAlignment="1">
      <alignment vertical="center"/>
    </xf>
    <xf numFmtId="43" fontId="23" fillId="0" borderId="0" xfId="55" applyFont="1" applyFill="1" applyAlignment="1">
      <alignment vertical="center"/>
    </xf>
    <xf numFmtId="0" fontId="23" fillId="0" borderId="0" xfId="0" applyFont="1" applyFill="1" applyAlignment="1">
      <alignment horizontal="center" vertical="center" wrapText="1" readingOrder="1"/>
    </xf>
    <xf numFmtId="0" fontId="23" fillId="0" borderId="0" xfId="0" applyFont="1" applyFill="1" applyAlignment="1">
      <alignment horizontal="right" vertical="center" wrapText="1" readingOrder="1"/>
    </xf>
    <xf numFmtId="0" fontId="25" fillId="17" borderId="10" xfId="0" applyFont="1" applyFill="1" applyBorder="1" applyAlignment="1">
      <alignment horizontal="center" vertical="center" readingOrder="1"/>
    </xf>
    <xf numFmtId="164" fontId="25" fillId="0" borderId="11" xfId="0" applyNumberFormat="1" applyFont="1" applyFill="1" applyBorder="1" applyAlignment="1">
      <alignment vertical="center"/>
    </xf>
    <xf numFmtId="165" fontId="23" fillId="0" borderId="0" xfId="0" applyNumberFormat="1" applyFont="1" applyFill="1" applyAlignment="1">
      <alignment vertical="center"/>
    </xf>
    <xf numFmtId="2" fontId="23" fillId="0" borderId="0" xfId="0" applyNumberFormat="1" applyFont="1" applyFill="1" applyAlignment="1">
      <alignment vertical="center"/>
    </xf>
    <xf numFmtId="164" fontId="23" fillId="0" borderId="11" xfId="0" applyNumberFormat="1" applyFont="1" applyFill="1" applyBorder="1" applyAlignment="1">
      <alignment vertical="center"/>
    </xf>
    <xf numFmtId="165" fontId="23" fillId="0" borderId="0" xfId="55" applyNumberFormat="1" applyFont="1" applyFill="1" applyAlignment="1">
      <alignment vertical="center"/>
    </xf>
    <xf numFmtId="164" fontId="23" fillId="0" borderId="12" xfId="0" applyNumberFormat="1" applyFont="1" applyFill="1" applyBorder="1" applyAlignment="1">
      <alignment vertical="center"/>
    </xf>
    <xf numFmtId="164" fontId="25" fillId="0" borderId="12" xfId="0" applyNumberFormat="1" applyFont="1" applyFill="1" applyBorder="1" applyAlignment="1">
      <alignment vertical="center"/>
    </xf>
    <xf numFmtId="164" fontId="23" fillId="0" borderId="13" xfId="0" applyNumberFormat="1" applyFont="1" applyFill="1" applyBorder="1" applyAlignment="1">
      <alignment vertical="center"/>
    </xf>
    <xf numFmtId="164" fontId="25" fillId="0" borderId="13" xfId="0" applyNumberFormat="1" applyFont="1" applyFill="1" applyBorder="1" applyAlignment="1">
      <alignment vertical="center"/>
    </xf>
    <xf numFmtId="164" fontId="25" fillId="0" borderId="10" xfId="0" applyNumberFormat="1" applyFont="1" applyFill="1" applyBorder="1" applyAlignment="1">
      <alignment vertical="center"/>
    </xf>
    <xf numFmtId="43" fontId="23" fillId="0" borderId="0" xfId="0" applyNumberFormat="1" applyFont="1" applyFill="1" applyAlignment="1">
      <alignment vertical="center"/>
    </xf>
    <xf numFmtId="164" fontId="25" fillId="0" borderId="10" xfId="0" applyNumberFormat="1" applyFont="1" applyFill="1" applyBorder="1" applyAlignment="1">
      <alignment horizontal="right" vertical="center"/>
    </xf>
    <xf numFmtId="165" fontId="25" fillId="0" borderId="0" xfId="0" applyNumberFormat="1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6" fillId="0" borderId="0" xfId="0" applyFont="1" applyFill="1" applyAlignment="1">
      <alignment vertical="center" readingOrder="1"/>
    </xf>
    <xf numFmtId="0" fontId="27" fillId="0" borderId="0" xfId="0" applyFont="1" applyFill="1" applyAlignment="1">
      <alignment vertical="center" readingOrder="1"/>
    </xf>
    <xf numFmtId="164" fontId="27" fillId="0" borderId="0" xfId="0" applyNumberFormat="1" applyFont="1" applyFill="1" applyAlignment="1">
      <alignment vertical="center"/>
    </xf>
    <xf numFmtId="164" fontId="27" fillId="0" borderId="0" xfId="0" applyNumberFormat="1" applyFont="1" applyFill="1" applyAlignment="1">
      <alignment horizontal="right"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horizontal="left" vertical="center" readingOrder="1"/>
    </xf>
    <xf numFmtId="0" fontId="28" fillId="0" borderId="0" xfId="0" applyFont="1" applyFill="1" applyAlignment="1">
      <alignment horizontal="right" vertical="center"/>
    </xf>
    <xf numFmtId="43" fontId="28" fillId="0" borderId="0" xfId="0" applyNumberFormat="1" applyFont="1" applyFill="1" applyAlignment="1">
      <alignment vertical="center"/>
    </xf>
    <xf numFmtId="0" fontId="29" fillId="0" borderId="0" xfId="0" applyFont="1" applyFill="1" applyAlignment="1">
      <alignment horizontal="left" vertical="center" readingOrder="1"/>
    </xf>
    <xf numFmtId="0" fontId="24" fillId="0" borderId="0" xfId="0" applyFont="1" applyFill="1" applyAlignment="1">
      <alignment horizontal="center" vertical="center" wrapText="1" readingOrder="1"/>
    </xf>
    <xf numFmtId="0" fontId="23" fillId="0" borderId="0" xfId="0" applyFont="1" applyFill="1" applyAlignment="1">
      <alignment horizontal="right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center" vertical="center" readingOrder="1"/>
    </xf>
    <xf numFmtId="0" fontId="33" fillId="0" borderId="0" xfId="0" applyFont="1" applyFill="1" applyAlignment="1">
      <alignment vertical="center" readingOrder="1"/>
    </xf>
    <xf numFmtId="0" fontId="33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4" fillId="0" borderId="0" xfId="0" applyFont="1" applyFill="1" applyAlignment="1">
      <alignment horizontal="center" vertical="center"/>
    </xf>
    <xf numFmtId="164" fontId="23" fillId="0" borderId="0" xfId="0" applyNumberFormat="1" applyFont="1" applyFill="1" applyAlignment="1">
      <alignment vertical="center"/>
    </xf>
    <xf numFmtId="0" fontId="1" fillId="0" borderId="0" xfId="51">
      <alignment/>
      <protection/>
    </xf>
    <xf numFmtId="49" fontId="1" fillId="0" borderId="0" xfId="51" applyNumberFormat="1">
      <alignment/>
      <protection/>
    </xf>
    <xf numFmtId="0" fontId="21" fillId="0" borderId="0" xfId="51" applyFont="1" applyAlignment="1">
      <alignment horizontal="center"/>
      <protection/>
    </xf>
    <xf numFmtId="0" fontId="21" fillId="6" borderId="14" xfId="51" applyFont="1" applyFill="1" applyBorder="1">
      <alignment/>
      <protection/>
    </xf>
    <xf numFmtId="0" fontId="21" fillId="6" borderId="15" xfId="51" applyFont="1" applyFill="1" applyBorder="1" applyAlignment="1">
      <alignment horizontal="center"/>
      <protection/>
    </xf>
    <xf numFmtId="0" fontId="21" fillId="6" borderId="16" xfId="51" applyFont="1" applyFill="1" applyBorder="1" applyAlignment="1">
      <alignment horizontal="center"/>
      <protection/>
    </xf>
    <xf numFmtId="0" fontId="21" fillId="6" borderId="17" xfId="51" applyFont="1" applyFill="1" applyBorder="1">
      <alignment/>
      <protection/>
    </xf>
    <xf numFmtId="166" fontId="21" fillId="6" borderId="13" xfId="55" applyNumberFormat="1" applyFont="1" applyFill="1" applyBorder="1" applyAlignment="1">
      <alignment/>
    </xf>
    <xf numFmtId="0" fontId="25" fillId="17" borderId="18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left" vertical="center"/>
    </xf>
    <xf numFmtId="166" fontId="21" fillId="6" borderId="20" xfId="55" applyNumberFormat="1" applyFont="1" applyFill="1" applyBorder="1" applyAlignment="1">
      <alignment/>
    </xf>
    <xf numFmtId="0" fontId="1" fillId="0" borderId="21" xfId="51" applyBorder="1">
      <alignment/>
      <protection/>
    </xf>
    <xf numFmtId="166" fontId="1" fillId="0" borderId="12" xfId="55" applyNumberFormat="1" applyFont="1" applyBorder="1" applyAlignment="1">
      <alignment/>
    </xf>
    <xf numFmtId="166" fontId="1" fillId="0" borderId="22" xfId="55" applyNumberFormat="1" applyFont="1" applyBorder="1" applyAlignment="1">
      <alignment/>
    </xf>
    <xf numFmtId="0" fontId="1" fillId="0" borderId="21" xfId="51" applyFont="1" applyBorder="1">
      <alignment/>
      <protection/>
    </xf>
    <xf numFmtId="166" fontId="1" fillId="0" borderId="12" xfId="55" applyNumberFormat="1" applyFont="1" applyFill="1" applyBorder="1" applyAlignment="1">
      <alignment/>
    </xf>
    <xf numFmtId="0" fontId="21" fillId="6" borderId="23" xfId="51" applyFont="1" applyFill="1" applyBorder="1">
      <alignment/>
      <protection/>
    </xf>
    <xf numFmtId="166" fontId="21" fillId="6" borderId="10" xfId="55" applyNumberFormat="1" applyFont="1" applyFill="1" applyBorder="1" applyAlignment="1">
      <alignment/>
    </xf>
    <xf numFmtId="166" fontId="21" fillId="6" borderId="24" xfId="55" applyNumberFormat="1" applyFont="1" applyFill="1" applyBorder="1" applyAlignment="1">
      <alignment/>
    </xf>
    <xf numFmtId="166" fontId="1" fillId="0" borderId="12" xfId="51" applyNumberFormat="1" applyBorder="1">
      <alignment/>
      <protection/>
    </xf>
    <xf numFmtId="0" fontId="21" fillId="6" borderId="25" xfId="51" applyFont="1" applyFill="1" applyBorder="1">
      <alignment/>
      <protection/>
    </xf>
    <xf numFmtId="166" fontId="1" fillId="6" borderId="11" xfId="51" applyNumberFormat="1" applyFill="1" applyBorder="1">
      <alignment/>
      <protection/>
    </xf>
    <xf numFmtId="166" fontId="1" fillId="6" borderId="26" xfId="51" applyNumberFormat="1" applyFill="1" applyBorder="1">
      <alignment/>
      <protection/>
    </xf>
    <xf numFmtId="166" fontId="21" fillId="6" borderId="15" xfId="51" applyNumberFormat="1" applyFont="1" applyFill="1" applyBorder="1">
      <alignment/>
      <protection/>
    </xf>
    <xf numFmtId="166" fontId="21" fillId="6" borderId="16" xfId="51" applyNumberFormat="1" applyFont="1" applyFill="1" applyBorder="1">
      <alignment/>
      <protection/>
    </xf>
    <xf numFmtId="0" fontId="21" fillId="0" borderId="0" xfId="51" applyFont="1">
      <alignment/>
      <protection/>
    </xf>
    <xf numFmtId="166" fontId="1" fillId="6" borderId="13" xfId="55" applyNumberFormat="1" applyFont="1" applyFill="1" applyBorder="1" applyAlignment="1">
      <alignment/>
    </xf>
    <xf numFmtId="166" fontId="1" fillId="6" borderId="20" xfId="55" applyNumberFormat="1" applyFont="1" applyFill="1" applyBorder="1" applyAlignment="1">
      <alignment/>
    </xf>
    <xf numFmtId="166" fontId="1" fillId="0" borderId="22" xfId="51" applyNumberFormat="1" applyBorder="1">
      <alignment/>
      <protection/>
    </xf>
    <xf numFmtId="166" fontId="21" fillId="6" borderId="10" xfId="51" applyNumberFormat="1" applyFont="1" applyFill="1" applyBorder="1">
      <alignment/>
      <protection/>
    </xf>
    <xf numFmtId="166" fontId="21" fillId="6" borderId="24" xfId="51" applyNumberFormat="1" applyFont="1" applyFill="1" applyBorder="1">
      <alignment/>
      <protection/>
    </xf>
    <xf numFmtId="166" fontId="21" fillId="6" borderId="11" xfId="55" applyNumberFormat="1" applyFont="1" applyFill="1" applyBorder="1" applyAlignment="1">
      <alignment/>
    </xf>
    <xf numFmtId="166" fontId="21" fillId="6" borderId="26" xfId="55" applyNumberFormat="1" applyFont="1" applyFill="1" applyBorder="1" applyAlignment="1">
      <alignment/>
    </xf>
    <xf numFmtId="0" fontId="21" fillId="6" borderId="17" xfId="51" applyFont="1" applyFill="1" applyBorder="1" applyAlignment="1">
      <alignment horizontal="left" wrapText="1"/>
      <protection/>
    </xf>
    <xf numFmtId="43" fontId="1" fillId="6" borderId="13" xfId="55" applyFont="1" applyFill="1" applyBorder="1" applyAlignment="1">
      <alignment/>
    </xf>
    <xf numFmtId="43" fontId="1" fillId="6" borderId="20" xfId="55" applyFont="1" applyFill="1" applyBorder="1" applyAlignment="1">
      <alignment/>
    </xf>
    <xf numFmtId="0" fontId="21" fillId="0" borderId="25" xfId="51" applyFont="1" applyBorder="1">
      <alignment/>
      <protection/>
    </xf>
    <xf numFmtId="0" fontId="1" fillId="0" borderId="11" xfId="51" applyBorder="1">
      <alignment/>
      <protection/>
    </xf>
    <xf numFmtId="0" fontId="1" fillId="0" borderId="26" xfId="51" applyBorder="1">
      <alignment/>
      <protection/>
    </xf>
    <xf numFmtId="0" fontId="21" fillId="0" borderId="27" xfId="51" applyFont="1" applyBorder="1">
      <alignment/>
      <protection/>
    </xf>
    <xf numFmtId="0" fontId="1" fillId="0" borderId="28" xfId="51" applyBorder="1">
      <alignment/>
      <protection/>
    </xf>
    <xf numFmtId="0" fontId="1" fillId="0" borderId="29" xfId="51" applyBorder="1">
      <alignment/>
      <protection/>
    </xf>
    <xf numFmtId="0" fontId="21" fillId="0" borderId="0" xfId="51" applyFont="1" applyBorder="1">
      <alignment/>
      <protection/>
    </xf>
    <xf numFmtId="0" fontId="1" fillId="0" borderId="0" xfId="51" applyBorder="1">
      <alignment/>
      <protection/>
    </xf>
    <xf numFmtId="0" fontId="21" fillId="6" borderId="14" xfId="51" applyFont="1" applyFill="1" applyBorder="1" applyAlignment="1">
      <alignment horizontal="center" vertical="center" wrapText="1"/>
      <protection/>
    </xf>
    <xf numFmtId="0" fontId="21" fillId="6" borderId="15" xfId="51" applyFont="1" applyFill="1" applyBorder="1" applyAlignment="1">
      <alignment horizontal="center" vertical="center" wrapText="1"/>
      <protection/>
    </xf>
    <xf numFmtId="0" fontId="21" fillId="6" borderId="16" xfId="51" applyFont="1" applyFill="1" applyBorder="1" applyAlignment="1">
      <alignment horizontal="center" vertical="center" wrapText="1"/>
      <protection/>
    </xf>
    <xf numFmtId="0" fontId="1" fillId="0" borderId="0" xfId="51" applyAlignment="1">
      <alignment horizontal="center" vertical="center" wrapText="1"/>
      <protection/>
    </xf>
    <xf numFmtId="0" fontId="21" fillId="6" borderId="30" xfId="51" applyFont="1" applyFill="1" applyBorder="1">
      <alignment/>
      <protection/>
    </xf>
    <xf numFmtId="43" fontId="21" fillId="6" borderId="31" xfId="55" applyFont="1" applyFill="1" applyBorder="1" applyAlignment="1">
      <alignment/>
    </xf>
    <xf numFmtId="43" fontId="21" fillId="6" borderId="32" xfId="55" applyFont="1" applyFill="1" applyBorder="1" applyAlignment="1">
      <alignment/>
    </xf>
    <xf numFmtId="0" fontId="1" fillId="0" borderId="12" xfId="51" applyBorder="1">
      <alignment/>
      <protection/>
    </xf>
    <xf numFmtId="0" fontId="1" fillId="0" borderId="22" xfId="51" applyBorder="1">
      <alignment/>
      <protection/>
    </xf>
    <xf numFmtId="43" fontId="1" fillId="0" borderId="12" xfId="55" applyFont="1" applyFill="1" applyBorder="1" applyAlignment="1">
      <alignment/>
    </xf>
    <xf numFmtId="43" fontId="1" fillId="0" borderId="12" xfId="51" applyNumberFormat="1" applyFont="1" applyFill="1" applyBorder="1">
      <alignment/>
      <protection/>
    </xf>
    <xf numFmtId="43" fontId="1" fillId="0" borderId="22" xfId="51" applyNumberFormat="1" applyBorder="1">
      <alignment/>
      <protection/>
    </xf>
    <xf numFmtId="43" fontId="1" fillId="0" borderId="0" xfId="51" applyNumberFormat="1">
      <alignment/>
      <protection/>
    </xf>
    <xf numFmtId="43" fontId="21" fillId="6" borderId="10" xfId="55" applyFont="1" applyFill="1" applyBorder="1" applyAlignment="1">
      <alignment/>
    </xf>
    <xf numFmtId="43" fontId="21" fillId="6" borderId="24" xfId="51" applyNumberFormat="1" applyFont="1" applyFill="1" applyBorder="1">
      <alignment/>
      <protection/>
    </xf>
    <xf numFmtId="43" fontId="1" fillId="0" borderId="12" xfId="51" applyNumberFormat="1" applyFill="1" applyBorder="1">
      <alignment/>
      <protection/>
    </xf>
    <xf numFmtId="0" fontId="21" fillId="0" borderId="21" xfId="51" applyFont="1" applyFill="1" applyBorder="1">
      <alignment/>
      <protection/>
    </xf>
    <xf numFmtId="0" fontId="21" fillId="0" borderId="12" xfId="51" applyFont="1" applyFill="1" applyBorder="1">
      <alignment/>
      <protection/>
    </xf>
    <xf numFmtId="0" fontId="21" fillId="0" borderId="22" xfId="51" applyFont="1" applyFill="1" applyBorder="1">
      <alignment/>
      <protection/>
    </xf>
    <xf numFmtId="43" fontId="21" fillId="6" borderId="15" xfId="51" applyNumberFormat="1" applyFont="1" applyFill="1" applyBorder="1">
      <alignment/>
      <protection/>
    </xf>
    <xf numFmtId="43" fontId="21" fillId="6" borderId="16" xfId="51" applyNumberFormat="1" applyFont="1" applyFill="1" applyBorder="1">
      <alignment/>
      <protection/>
    </xf>
    <xf numFmtId="43" fontId="21" fillId="6" borderId="10" xfId="51" applyNumberFormat="1" applyFont="1" applyFill="1" applyBorder="1">
      <alignment/>
      <protection/>
    </xf>
    <xf numFmtId="43" fontId="21" fillId="6" borderId="24" xfId="55" applyFont="1" applyFill="1" applyBorder="1" applyAlignment="1">
      <alignment/>
    </xf>
    <xf numFmtId="0" fontId="21" fillId="6" borderId="33" xfId="51" applyFont="1" applyFill="1" applyBorder="1">
      <alignment/>
      <protection/>
    </xf>
    <xf numFmtId="43" fontId="21" fillId="6" borderId="34" xfId="51" applyNumberFormat="1" applyFont="1" applyFill="1" applyBorder="1">
      <alignment/>
      <protection/>
    </xf>
    <xf numFmtId="43" fontId="21" fillId="6" borderId="35" xfId="55" applyFont="1" applyFill="1" applyBorder="1" applyAlignment="1">
      <alignment/>
    </xf>
    <xf numFmtId="43" fontId="28" fillId="0" borderId="0" xfId="55" applyFont="1" applyFill="1" applyAlignment="1">
      <alignment horizontal="right" vertical="center"/>
    </xf>
    <xf numFmtId="0" fontId="36" fillId="0" borderId="0" xfId="0" applyFont="1" applyFill="1" applyAlignment="1">
      <alignment vertical="center" readingOrder="1"/>
    </xf>
    <xf numFmtId="0" fontId="23" fillId="0" borderId="0" xfId="0" applyFont="1" applyFill="1" applyAlignment="1">
      <alignment horizontal="left" vertical="center" readingOrder="1"/>
    </xf>
    <xf numFmtId="0" fontId="24" fillId="0" borderId="0" xfId="0" applyFont="1" applyFill="1" applyAlignment="1">
      <alignment vertical="center" readingOrder="1"/>
    </xf>
    <xf numFmtId="0" fontId="24" fillId="0" borderId="0" xfId="0" applyFont="1" applyFill="1" applyAlignment="1">
      <alignment vertical="center"/>
    </xf>
    <xf numFmtId="43" fontId="21" fillId="0" borderId="0" xfId="51" applyNumberFormat="1" applyFont="1" applyAlignment="1">
      <alignment horizontal="center"/>
      <protection/>
    </xf>
    <xf numFmtId="0" fontId="21" fillId="6" borderId="36" xfId="51" applyFont="1" applyFill="1" applyBorder="1" applyAlignment="1">
      <alignment horizontal="center" vertical="center" wrapText="1"/>
      <protection/>
    </xf>
    <xf numFmtId="0" fontId="21" fillId="6" borderId="37" xfId="51" applyFont="1" applyFill="1" applyBorder="1" applyAlignment="1">
      <alignment horizontal="center" wrapText="1"/>
      <protection/>
    </xf>
    <xf numFmtId="0" fontId="23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5" fillId="17" borderId="19" xfId="0" applyFont="1" applyFill="1" applyBorder="1" applyAlignment="1">
      <alignment horizontal="center" vertical="center"/>
    </xf>
    <xf numFmtId="0" fontId="25" fillId="17" borderId="38" xfId="0" applyFont="1" applyFill="1" applyBorder="1" applyAlignment="1">
      <alignment horizontal="center" vertical="center"/>
    </xf>
    <xf numFmtId="0" fontId="21" fillId="6" borderId="37" xfId="51" applyFont="1" applyFill="1" applyBorder="1">
      <alignment/>
      <protection/>
    </xf>
    <xf numFmtId="166" fontId="21" fillId="6" borderId="36" xfId="55" applyNumberFormat="1" applyFont="1" applyFill="1" applyBorder="1" applyAlignment="1">
      <alignment/>
    </xf>
    <xf numFmtId="166" fontId="21" fillId="6" borderId="37" xfId="55" applyNumberFormat="1" applyFont="1" applyFill="1" applyBorder="1" applyAlignment="1">
      <alignment/>
    </xf>
    <xf numFmtId="166" fontId="21" fillId="6" borderId="39" xfId="55" applyNumberFormat="1" applyFont="1" applyFill="1" applyBorder="1" applyAlignment="1">
      <alignment/>
    </xf>
    <xf numFmtId="0" fontId="1" fillId="0" borderId="40" xfId="51" applyBorder="1">
      <alignment/>
      <protection/>
    </xf>
    <xf numFmtId="166" fontId="1" fillId="0" borderId="41" xfId="51" applyNumberFormat="1" applyBorder="1">
      <alignment/>
      <protection/>
    </xf>
    <xf numFmtId="166" fontId="1" fillId="0" borderId="40" xfId="51" applyNumberFormat="1" applyBorder="1">
      <alignment/>
      <protection/>
    </xf>
    <xf numFmtId="166" fontId="1" fillId="0" borderId="42" xfId="51" applyNumberFormat="1" applyBorder="1">
      <alignment/>
      <protection/>
    </xf>
    <xf numFmtId="166" fontId="1" fillId="0" borderId="40" xfId="55" applyNumberFormat="1" applyFont="1" applyBorder="1" applyAlignment="1">
      <alignment/>
    </xf>
    <xf numFmtId="166" fontId="1" fillId="0" borderId="41" xfId="55" applyNumberFormat="1" applyFont="1" applyBorder="1" applyAlignment="1">
      <alignment/>
    </xf>
    <xf numFmtId="166" fontId="1" fillId="0" borderId="41" xfId="51" applyNumberFormat="1" applyFill="1" applyBorder="1">
      <alignment/>
      <protection/>
    </xf>
    <xf numFmtId="166" fontId="1" fillId="0" borderId="40" xfId="55" applyNumberFormat="1" applyFont="1" applyFill="1" applyBorder="1" applyAlignment="1">
      <alignment/>
    </xf>
    <xf numFmtId="166" fontId="1" fillId="0" borderId="41" xfId="55" applyNumberFormat="1" applyFont="1" applyFill="1" applyBorder="1" applyAlignment="1">
      <alignment/>
    </xf>
    <xf numFmtId="166" fontId="1" fillId="0" borderId="40" xfId="51" applyNumberFormat="1" applyFill="1" applyBorder="1">
      <alignment/>
      <protection/>
    </xf>
    <xf numFmtId="0" fontId="1" fillId="0" borderId="43" xfId="51" applyBorder="1">
      <alignment/>
      <protection/>
    </xf>
    <xf numFmtId="166" fontId="1" fillId="0" borderId="44" xfId="51" applyNumberFormat="1" applyBorder="1">
      <alignment/>
      <protection/>
    </xf>
    <xf numFmtId="166" fontId="21" fillId="6" borderId="45" xfId="51" applyNumberFormat="1" applyFont="1" applyFill="1" applyBorder="1">
      <alignment/>
      <protection/>
    </xf>
    <xf numFmtId="166" fontId="21" fillId="6" borderId="37" xfId="51" applyNumberFormat="1" applyFont="1" applyFill="1" applyBorder="1">
      <alignment/>
      <protection/>
    </xf>
    <xf numFmtId="0" fontId="21" fillId="6" borderId="36" xfId="51" applyFont="1" applyFill="1" applyBorder="1">
      <alignment/>
      <protection/>
    </xf>
    <xf numFmtId="0" fontId="1" fillId="0" borderId="46" xfId="51" applyBorder="1">
      <alignment/>
      <protection/>
    </xf>
    <xf numFmtId="166" fontId="1" fillId="0" borderId="43" xfId="51" applyNumberFormat="1" applyBorder="1">
      <alignment/>
      <protection/>
    </xf>
    <xf numFmtId="0" fontId="23" fillId="0" borderId="46" xfId="0" applyFont="1" applyFill="1" applyBorder="1" applyAlignment="1">
      <alignment horizontal="left" vertical="center" indent="1"/>
    </xf>
    <xf numFmtId="0" fontId="23" fillId="0" borderId="47" xfId="0" applyFont="1" applyFill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23" fillId="0" borderId="46" xfId="0" applyFont="1" applyFill="1" applyBorder="1" applyAlignment="1">
      <alignment horizontal="left" vertical="center"/>
    </xf>
    <xf numFmtId="0" fontId="23" fillId="0" borderId="47" xfId="0" applyFont="1" applyFill="1" applyBorder="1" applyAlignment="1">
      <alignment horizontal="left" vertical="center"/>
    </xf>
    <xf numFmtId="0" fontId="25" fillId="0" borderId="38" xfId="0" applyFont="1" applyFill="1" applyBorder="1" applyAlignment="1">
      <alignment horizontal="left" vertical="center"/>
    </xf>
    <xf numFmtId="0" fontId="25" fillId="0" borderId="18" xfId="0" applyFont="1" applyFill="1" applyBorder="1" applyAlignment="1">
      <alignment horizontal="left" vertical="center"/>
    </xf>
    <xf numFmtId="0" fontId="23" fillId="0" borderId="48" xfId="0" applyFont="1" applyFill="1" applyBorder="1" applyAlignment="1">
      <alignment horizontal="left" vertical="center"/>
    </xf>
    <xf numFmtId="0" fontId="23" fillId="0" borderId="49" xfId="0" applyFont="1" applyFill="1" applyBorder="1" applyAlignment="1">
      <alignment horizontal="left" vertical="center"/>
    </xf>
    <xf numFmtId="0" fontId="23" fillId="0" borderId="50" xfId="0" applyFont="1" applyFill="1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 indent="1"/>
    </xf>
    <xf numFmtId="0" fontId="22" fillId="0" borderId="0" xfId="0" applyFont="1" applyFill="1" applyAlignment="1">
      <alignment horizontal="center" vertical="center"/>
    </xf>
    <xf numFmtId="0" fontId="25" fillId="17" borderId="19" xfId="0" applyFont="1" applyFill="1" applyBorder="1" applyAlignment="1">
      <alignment horizontal="center" vertical="center" readingOrder="1"/>
    </xf>
    <xf numFmtId="0" fontId="25" fillId="17" borderId="38" xfId="0" applyFont="1" applyFill="1" applyBorder="1" applyAlignment="1">
      <alignment horizontal="center" vertical="center" readingOrder="1"/>
    </xf>
    <xf numFmtId="0" fontId="25" fillId="17" borderId="18" xfId="0" applyFont="1" applyFill="1" applyBorder="1" applyAlignment="1">
      <alignment horizontal="center" vertical="center" readingOrder="1"/>
    </xf>
    <xf numFmtId="49" fontId="24" fillId="0" borderId="0" xfId="0" applyNumberFormat="1" applyFont="1" applyFill="1" applyAlignment="1">
      <alignment horizontal="center" vertical="center" readingOrder="1"/>
    </xf>
    <xf numFmtId="0" fontId="24" fillId="0" borderId="0" xfId="0" applyFont="1" applyFill="1" applyAlignment="1">
      <alignment horizontal="center" vertical="center" readingOrder="1"/>
    </xf>
    <xf numFmtId="0" fontId="25" fillId="17" borderId="19" xfId="0" applyFont="1" applyFill="1" applyBorder="1" applyAlignment="1">
      <alignment horizontal="left" vertical="center"/>
    </xf>
    <xf numFmtId="0" fontId="25" fillId="17" borderId="38" xfId="0" applyFont="1" applyFill="1" applyBorder="1" applyAlignment="1">
      <alignment horizontal="left" vertical="center"/>
    </xf>
    <xf numFmtId="0" fontId="25" fillId="17" borderId="18" xfId="0" applyFont="1" applyFill="1" applyBorder="1" applyAlignment="1">
      <alignment horizontal="left" vertical="center"/>
    </xf>
    <xf numFmtId="0" fontId="23" fillId="0" borderId="51" xfId="0" applyFont="1" applyFill="1" applyBorder="1" applyAlignment="1">
      <alignment horizontal="left" vertical="center"/>
    </xf>
    <xf numFmtId="0" fontId="23" fillId="0" borderId="52" xfId="0" applyFont="1" applyFill="1" applyBorder="1" applyAlignment="1">
      <alignment horizontal="left" vertical="center"/>
    </xf>
    <xf numFmtId="0" fontId="23" fillId="0" borderId="53" xfId="0" applyFont="1" applyFill="1" applyBorder="1" applyAlignment="1">
      <alignment horizontal="left" vertical="center"/>
    </xf>
    <xf numFmtId="0" fontId="23" fillId="0" borderId="51" xfId="0" applyFont="1" applyFill="1" applyBorder="1" applyAlignment="1">
      <alignment horizontal="left" vertical="center" indent="1"/>
    </xf>
    <xf numFmtId="0" fontId="23" fillId="0" borderId="53" xfId="0" applyFont="1" applyFill="1" applyBorder="1" applyAlignment="1">
      <alignment horizontal="left" vertical="center" indent="1"/>
    </xf>
    <xf numFmtId="0" fontId="23" fillId="0" borderId="52" xfId="0" applyFont="1" applyFill="1" applyBorder="1" applyAlignment="1">
      <alignment horizontal="left" vertical="center" indent="1"/>
    </xf>
    <xf numFmtId="0" fontId="0" fillId="0" borderId="52" xfId="0" applyBorder="1" applyAlignment="1">
      <alignment horizontal="left" vertical="center" indent="1"/>
    </xf>
    <xf numFmtId="0" fontId="33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left" vertical="center" readingOrder="1"/>
    </xf>
    <xf numFmtId="0" fontId="31" fillId="0" borderId="0" xfId="0" applyFont="1" applyFill="1" applyBorder="1" applyAlignment="1">
      <alignment horizontal="center" vertical="center"/>
    </xf>
    <xf numFmtId="0" fontId="0" fillId="0" borderId="38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33" fillId="0" borderId="0" xfId="0" applyFont="1" applyFill="1" applyBorder="1" applyAlignment="1">
      <alignment horizontal="center" vertical="center" readingOrder="1"/>
    </xf>
    <xf numFmtId="0" fontId="29" fillId="0" borderId="0" xfId="0" applyFont="1" applyFill="1" applyAlignment="1">
      <alignment vertical="center" wrapText="1" readingOrder="1"/>
    </xf>
    <xf numFmtId="0" fontId="29" fillId="0" borderId="0" xfId="0" applyFont="1" applyFill="1" applyAlignment="1">
      <alignment horizontal="left" vertical="center" wrapText="1" readingOrder="1"/>
    </xf>
    <xf numFmtId="0" fontId="24" fillId="0" borderId="0" xfId="0" applyFont="1" applyFill="1" applyAlignment="1">
      <alignment horizontal="center" vertical="center" wrapText="1" readingOrder="1"/>
    </xf>
    <xf numFmtId="0" fontId="34" fillId="0" borderId="0" xfId="0" applyFont="1" applyFill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 vertical="center" readingOrder="1"/>
    </xf>
    <xf numFmtId="9" fontId="33" fillId="0" borderId="0" xfId="53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 readingOrder="1"/>
    </xf>
    <xf numFmtId="166" fontId="1" fillId="0" borderId="46" xfId="55" applyNumberFormat="1" applyFont="1" applyBorder="1" applyAlignment="1">
      <alignment horizontal="center"/>
    </xf>
    <xf numFmtId="166" fontId="1" fillId="0" borderId="47" xfId="55" applyNumberFormat="1" applyFont="1" applyBorder="1" applyAlignment="1">
      <alignment horizontal="center"/>
    </xf>
    <xf numFmtId="166" fontId="1" fillId="0" borderId="46" xfId="55" applyNumberFormat="1" applyFont="1" applyFill="1" applyBorder="1" applyAlignment="1">
      <alignment horizontal="center"/>
    </xf>
    <xf numFmtId="166" fontId="1" fillId="0" borderId="47" xfId="55" applyNumberFormat="1" applyFont="1" applyFill="1" applyBorder="1" applyAlignment="1">
      <alignment horizontal="center"/>
    </xf>
    <xf numFmtId="0" fontId="21" fillId="6" borderId="15" xfId="51" applyFont="1" applyFill="1" applyBorder="1" applyAlignment="1">
      <alignment horizontal="center"/>
      <protection/>
    </xf>
    <xf numFmtId="166" fontId="21" fillId="6" borderId="13" xfId="55" applyNumberFormat="1" applyFont="1" applyFill="1" applyBorder="1" applyAlignment="1">
      <alignment horizontal="center"/>
    </xf>
    <xf numFmtId="166" fontId="1" fillId="6" borderId="11" xfId="51" applyNumberFormat="1" applyFill="1" applyBorder="1" applyAlignment="1">
      <alignment horizontal="center"/>
      <protection/>
    </xf>
    <xf numFmtId="166" fontId="1" fillId="0" borderId="46" xfId="51" applyNumberFormat="1" applyBorder="1" applyAlignment="1">
      <alignment horizontal="center"/>
      <protection/>
    </xf>
    <xf numFmtId="166" fontId="1" fillId="0" borderId="47" xfId="51" applyNumberFormat="1" applyBorder="1" applyAlignment="1">
      <alignment horizontal="center"/>
      <protection/>
    </xf>
    <xf numFmtId="166" fontId="21" fillId="6" borderId="15" xfId="51" applyNumberFormat="1" applyFont="1" applyFill="1" applyBorder="1" applyAlignment="1">
      <alignment horizontal="center"/>
      <protection/>
    </xf>
    <xf numFmtId="166" fontId="1" fillId="6" borderId="13" xfId="55" applyNumberFormat="1" applyFont="1" applyFill="1" applyBorder="1" applyAlignment="1">
      <alignment horizontal="center"/>
    </xf>
    <xf numFmtId="166" fontId="21" fillId="6" borderId="10" xfId="55" applyNumberFormat="1" applyFont="1" applyFill="1" applyBorder="1" applyAlignment="1">
      <alignment horizontal="center"/>
    </xf>
    <xf numFmtId="166" fontId="21" fillId="6" borderId="13" xfId="51" applyNumberFormat="1" applyFont="1" applyFill="1" applyBorder="1" applyAlignment="1">
      <alignment horizontal="center" wrapText="1"/>
      <protection/>
    </xf>
    <xf numFmtId="0" fontId="21" fillId="6" borderId="13" xfId="51" applyFont="1" applyFill="1" applyBorder="1" applyAlignment="1">
      <alignment horizontal="center" wrapText="1"/>
      <protection/>
    </xf>
    <xf numFmtId="166" fontId="21" fillId="6" borderId="11" xfId="55" applyNumberFormat="1" applyFont="1" applyFill="1" applyBorder="1" applyAlignment="1">
      <alignment horizontal="center"/>
    </xf>
    <xf numFmtId="166" fontId="21" fillId="6" borderId="10" xfId="51" applyNumberFormat="1" applyFont="1" applyFill="1" applyBorder="1" applyAlignment="1">
      <alignment horizontal="center"/>
      <protection/>
    </xf>
    <xf numFmtId="166" fontId="1" fillId="0" borderId="11" xfId="51" applyNumberFormat="1" applyBorder="1" applyAlignment="1">
      <alignment horizontal="center"/>
      <protection/>
    </xf>
    <xf numFmtId="166" fontId="1" fillId="0" borderId="28" xfId="51" applyNumberFormat="1" applyBorder="1" applyAlignment="1">
      <alignment horizontal="center"/>
      <protection/>
    </xf>
    <xf numFmtId="0" fontId="21" fillId="0" borderId="0" xfId="51" applyFont="1" applyAlignment="1">
      <alignment horizontal="center"/>
      <protection/>
    </xf>
    <xf numFmtId="0" fontId="21" fillId="6" borderId="54" xfId="51" applyFont="1" applyFill="1" applyBorder="1" applyAlignment="1">
      <alignment horizontal="center" vertical="center" wrapText="1"/>
      <protection/>
    </xf>
    <xf numFmtId="0" fontId="21" fillId="6" borderId="55" xfId="51" applyFont="1" applyFill="1" applyBorder="1" applyAlignment="1">
      <alignment horizontal="center" vertical="center" wrapText="1"/>
      <protection/>
    </xf>
    <xf numFmtId="0" fontId="21" fillId="6" borderId="56" xfId="51" applyFont="1" applyFill="1" applyBorder="1" applyAlignment="1">
      <alignment horizontal="center" vertical="center" wrapText="1"/>
      <protection/>
    </xf>
    <xf numFmtId="0" fontId="21" fillId="6" borderId="57" xfId="51" applyFont="1" applyFill="1" applyBorder="1" applyAlignment="1">
      <alignment horizontal="center" vertical="center" wrapText="1"/>
      <protection/>
    </xf>
    <xf numFmtId="0" fontId="21" fillId="6" borderId="58" xfId="51" applyFont="1" applyFill="1" applyBorder="1" applyAlignment="1">
      <alignment horizontal="center" vertical="center" wrapText="1"/>
      <protection/>
    </xf>
    <xf numFmtId="0" fontId="21" fillId="6" borderId="59" xfId="51" applyFont="1" applyFill="1" applyBorder="1" applyAlignment="1">
      <alignment horizontal="center" vertical="center" wrapText="1"/>
      <protection/>
    </xf>
    <xf numFmtId="0" fontId="21" fillId="6" borderId="54" xfId="51" applyFont="1" applyFill="1" applyBorder="1" applyAlignment="1">
      <alignment horizontal="center" vertical="center"/>
      <protection/>
    </xf>
    <xf numFmtId="0" fontId="21" fillId="6" borderId="55" xfId="51" applyFont="1" applyFill="1" applyBorder="1" applyAlignment="1">
      <alignment horizontal="center" vertical="center"/>
      <protection/>
    </xf>
    <xf numFmtId="0" fontId="21" fillId="6" borderId="57" xfId="51" applyFont="1" applyFill="1" applyBorder="1" applyAlignment="1">
      <alignment horizontal="center" vertical="center"/>
      <protection/>
    </xf>
    <xf numFmtId="0" fontId="21" fillId="6" borderId="60" xfId="51" applyFont="1" applyFill="1" applyBorder="1" applyAlignment="1">
      <alignment horizontal="center"/>
      <protection/>
    </xf>
    <xf numFmtId="0" fontId="21" fillId="6" borderId="61" xfId="51" applyFont="1" applyFill="1" applyBorder="1" applyAlignment="1">
      <alignment horizontal="center"/>
      <protection/>
    </xf>
    <xf numFmtId="0" fontId="21" fillId="6" borderId="62" xfId="51" applyFont="1" applyFill="1" applyBorder="1" applyAlignment="1">
      <alignment horizontal="center" vertical="center" wrapText="1"/>
      <protection/>
    </xf>
    <xf numFmtId="0" fontId="21" fillId="6" borderId="43" xfId="51" applyFont="1" applyFill="1" applyBorder="1" applyAlignment="1">
      <alignment horizontal="center" vertical="center" wrapText="1"/>
      <protection/>
    </xf>
    <xf numFmtId="14" fontId="2" fillId="0" borderId="0" xfId="51" applyNumberFormat="1" applyFont="1" applyFill="1">
      <alignment/>
      <protection/>
    </xf>
  </cellXfs>
  <cellStyles count="66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_BALANÇO ORÇAMENTÁRIO MCASP - Nov15" xfId="51"/>
    <cellStyle name="Nota" xfId="52"/>
    <cellStyle name="Percent" xfId="53"/>
    <cellStyle name="Saída" xfId="54"/>
    <cellStyle name="Comma" xfId="55"/>
    <cellStyle name="Comma [0]" xfId="56"/>
    <cellStyle name="Separador de milhares 2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0</xdr:col>
      <xdr:colOff>590550</xdr:colOff>
      <xdr:row>3</xdr:row>
      <xdr:rowOff>28575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5524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47625</xdr:rowOff>
    </xdr:from>
    <xdr:to>
      <xdr:col>0</xdr:col>
      <xdr:colOff>600075</xdr:colOff>
      <xdr:row>4</xdr:row>
      <xdr:rowOff>19050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38125"/>
          <a:ext cx="5524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47625</xdr:rowOff>
    </xdr:from>
    <xdr:to>
      <xdr:col>0</xdr:col>
      <xdr:colOff>600075</xdr:colOff>
      <xdr:row>4</xdr:row>
      <xdr:rowOff>19050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38125"/>
          <a:ext cx="5524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835717\Documents\FUMCAD\BALAN&#199;OS%20DO%20FUMCAD\2014\3.Mar&#231;o\Novos%20Relat&#243;rios\_Balan&#231;os%20de%20Mar&#231;o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"/>
      <sheetName val="B.F. 05"/>
      <sheetName val="B.F. 00"/>
      <sheetName val="Balanço Financeiro "/>
      <sheetName val="Balanço Orçamentário MCASP"/>
      <sheetName val="Anexos do BO"/>
    </sheetNames>
    <sheetDataSet>
      <sheetData sheetId="0">
        <row r="1">
          <cell r="A1" t="str">
            <v>RELATÓRIOS</v>
          </cell>
          <cell r="C1">
            <v>41640</v>
          </cell>
          <cell r="D1">
            <v>41671</v>
          </cell>
          <cell r="E1">
            <v>41699</v>
          </cell>
          <cell r="F1">
            <v>41730</v>
          </cell>
          <cell r="G1">
            <v>41760</v>
          </cell>
          <cell r="H1">
            <v>41791</v>
          </cell>
          <cell r="I1">
            <v>41821</v>
          </cell>
          <cell r="J1">
            <v>41852</v>
          </cell>
          <cell r="K1">
            <v>41883</v>
          </cell>
          <cell r="L1">
            <v>41913</v>
          </cell>
          <cell r="M1">
            <v>41944</v>
          </cell>
          <cell r="N1">
            <v>41974</v>
          </cell>
        </row>
        <row r="2">
          <cell r="A2" t="str">
            <v>BOLETIM DA RECEITA POR FONTE E ORGÃO</v>
          </cell>
        </row>
        <row r="3">
          <cell r="A3" t="str">
            <v>FONTE 05 - Outras Fontes</v>
          </cell>
        </row>
        <row r="4">
          <cell r="A4" t="str">
            <v>1.3.2.9.01.54.00.00 - FUMCAD</v>
          </cell>
          <cell r="B4" t="str">
            <v>Receita Prevista</v>
          </cell>
          <cell r="C4">
            <v>12154339</v>
          </cell>
          <cell r="D4">
            <v>12154339</v>
          </cell>
          <cell r="E4">
            <v>12154339</v>
          </cell>
        </row>
        <row r="5">
          <cell r="B5" t="str">
            <v>Realizada no Mês</v>
          </cell>
          <cell r="C5">
            <v>343117.64</v>
          </cell>
          <cell r="D5">
            <v>901762.64</v>
          </cell>
          <cell r="E5">
            <v>648974.06</v>
          </cell>
        </row>
        <row r="6">
          <cell r="B6" t="str">
            <v>Realizada no Mês - CONCILIADO</v>
          </cell>
          <cell r="C6">
            <v>343117.64</v>
          </cell>
          <cell r="D6">
            <v>901762.64</v>
          </cell>
          <cell r="E6">
            <v>648974.06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B7" t="str">
            <v>DIFERENÇA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B8" t="str">
            <v>Realizada até o Mês</v>
          </cell>
          <cell r="C8">
            <v>343117.64</v>
          </cell>
          <cell r="D8">
            <v>1244880.28</v>
          </cell>
          <cell r="E8">
            <v>1893854.34</v>
          </cell>
        </row>
        <row r="9">
          <cell r="B9" t="str">
            <v>Realizada até o Mês - CONCILIADO</v>
          </cell>
          <cell r="C9">
            <v>343117.64</v>
          </cell>
          <cell r="D9">
            <v>1244880.28</v>
          </cell>
          <cell r="E9">
            <v>1893854.34</v>
          </cell>
          <cell r="F9">
            <v>1893854.34</v>
          </cell>
          <cell r="G9">
            <v>1893854.34</v>
          </cell>
          <cell r="H9">
            <v>1893854.34</v>
          </cell>
          <cell r="I9">
            <v>1893854.34</v>
          </cell>
          <cell r="J9">
            <v>1893854.34</v>
          </cell>
          <cell r="K9">
            <v>1893854.34</v>
          </cell>
          <cell r="L9">
            <v>1893854.34</v>
          </cell>
          <cell r="M9">
            <v>1893854.34</v>
          </cell>
          <cell r="N9">
            <v>1893854.34</v>
          </cell>
        </row>
        <row r="10">
          <cell r="B10" t="str">
            <v>TOTAL</v>
          </cell>
          <cell r="C10">
            <v>343117.64</v>
          </cell>
          <cell r="D10">
            <v>1244880.28</v>
          </cell>
          <cell r="E10">
            <v>1893854.34</v>
          </cell>
          <cell r="F10">
            <v>1893854.34</v>
          </cell>
          <cell r="G10">
            <v>1893854.34</v>
          </cell>
          <cell r="H10">
            <v>1893854.34</v>
          </cell>
          <cell r="I10">
            <v>1893854.34</v>
          </cell>
          <cell r="J10">
            <v>1893854.34</v>
          </cell>
          <cell r="K10">
            <v>1893854.34</v>
          </cell>
          <cell r="L10">
            <v>1893854.34</v>
          </cell>
          <cell r="M10">
            <v>1893854.34</v>
          </cell>
          <cell r="N10">
            <v>1893854.34</v>
          </cell>
        </row>
        <row r="12">
          <cell r="A12" t="str">
            <v>1.7.5.0.51.00.00.00 - FUMCAD - Imposto de Renda</v>
          </cell>
          <cell r="B12" t="str">
            <v>Receita Prevista</v>
          </cell>
          <cell r="C12">
            <v>70000000</v>
          </cell>
          <cell r="D12">
            <v>70000000</v>
          </cell>
          <cell r="E12">
            <v>70000000</v>
          </cell>
        </row>
        <row r="13">
          <cell r="B13" t="str">
            <v>Realizada no Mês</v>
          </cell>
          <cell r="C13">
            <v>6042268.36</v>
          </cell>
          <cell r="D13">
            <v>1114100.44</v>
          </cell>
          <cell r="E13">
            <v>344548.57</v>
          </cell>
        </row>
        <row r="14">
          <cell r="B14" t="str">
            <v>Realizada no Mês - CONCILIADO</v>
          </cell>
          <cell r="C14">
            <v>6042268.36</v>
          </cell>
          <cell r="D14">
            <v>1114100.44</v>
          </cell>
          <cell r="E14">
            <v>344548.57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B15" t="str">
            <v>DIFERENÇA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B16" t="str">
            <v>Realizada até o Mês</v>
          </cell>
          <cell r="C16">
            <v>6042268.36</v>
          </cell>
          <cell r="D16">
            <v>7156368.8</v>
          </cell>
          <cell r="E16">
            <v>7500917.37</v>
          </cell>
        </row>
        <row r="17">
          <cell r="B17" t="str">
            <v>Realizada até o Mês - CONCILIADO</v>
          </cell>
          <cell r="C17">
            <v>6042268.36</v>
          </cell>
          <cell r="D17">
            <v>7156368.8</v>
          </cell>
          <cell r="E17">
            <v>7500917.37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B18" t="str">
            <v>TOTAL</v>
          </cell>
          <cell r="C18">
            <v>6042268.36</v>
          </cell>
          <cell r="D18">
            <v>7156368.800000001</v>
          </cell>
          <cell r="E18">
            <v>7500917.370000001</v>
          </cell>
          <cell r="F18">
            <v>7500917.370000001</v>
          </cell>
          <cell r="G18">
            <v>7500917.370000001</v>
          </cell>
          <cell r="H18">
            <v>7500917.370000001</v>
          </cell>
          <cell r="I18">
            <v>7500917.370000001</v>
          </cell>
          <cell r="J18">
            <v>7500917.370000001</v>
          </cell>
          <cell r="K18">
            <v>7500917.370000001</v>
          </cell>
          <cell r="L18">
            <v>7500917.370000001</v>
          </cell>
          <cell r="M18">
            <v>7500917.370000001</v>
          </cell>
          <cell r="N18">
            <v>7500917.370000001</v>
          </cell>
        </row>
        <row r="20">
          <cell r="A20" t="str">
            <v>1.9.1.9.32.01.00.00 - FUMCAD - Outras Restituições</v>
          </cell>
          <cell r="B20" t="str">
            <v>Receita Prevista</v>
          </cell>
          <cell r="C20">
            <v>0</v>
          </cell>
          <cell r="D20">
            <v>0</v>
          </cell>
          <cell r="E20">
            <v>0</v>
          </cell>
        </row>
        <row r="21">
          <cell r="B21" t="str">
            <v>Realizada no Mês</v>
          </cell>
          <cell r="C21">
            <v>0</v>
          </cell>
          <cell r="D21">
            <v>0</v>
          </cell>
          <cell r="E21">
            <v>0</v>
          </cell>
        </row>
        <row r="22">
          <cell r="B22" t="str">
            <v>Realizada no Mês - CONCILIADO</v>
          </cell>
          <cell r="C22">
            <v>0</v>
          </cell>
          <cell r="D22">
            <v>0</v>
          </cell>
          <cell r="E22">
            <v>0</v>
          </cell>
        </row>
        <row r="23">
          <cell r="B23" t="str">
            <v>DIFERENÇA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B24" t="str">
            <v>Realizada até o Mês</v>
          </cell>
          <cell r="C24">
            <v>0</v>
          </cell>
          <cell r="D24">
            <v>0</v>
          </cell>
          <cell r="E24">
            <v>0</v>
          </cell>
        </row>
        <row r="25">
          <cell r="B25" t="str">
            <v>Realizada até o Mês - CONCILIADO</v>
          </cell>
          <cell r="C25">
            <v>0</v>
          </cell>
          <cell r="D25">
            <v>0</v>
          </cell>
          <cell r="E25">
            <v>0</v>
          </cell>
        </row>
        <row r="26">
          <cell r="B26" t="str">
            <v>TOTAL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8">
          <cell r="A28" t="str">
            <v>1.9.9.0.99.03.00.00 - FUMCAD</v>
          </cell>
          <cell r="B28" t="str">
            <v>Receita Prevista</v>
          </cell>
          <cell r="C28">
            <v>0</v>
          </cell>
          <cell r="D28">
            <v>0</v>
          </cell>
          <cell r="E28">
            <v>0</v>
          </cell>
        </row>
        <row r="29">
          <cell r="B29" t="str">
            <v>Realizada no Mês</v>
          </cell>
          <cell r="C29">
            <v>0</v>
          </cell>
          <cell r="D29">
            <v>0</v>
          </cell>
          <cell r="E29">
            <v>0</v>
          </cell>
        </row>
        <row r="30">
          <cell r="B30" t="str">
            <v>Realizada no Mês - CONCILIADO</v>
          </cell>
          <cell r="C30">
            <v>0</v>
          </cell>
          <cell r="D30">
            <v>0</v>
          </cell>
          <cell r="E30">
            <v>0</v>
          </cell>
        </row>
        <row r="31">
          <cell r="B31" t="str">
            <v>DIFERENÇA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B32" t="str">
            <v>Realizada até o Mês</v>
          </cell>
          <cell r="C32">
            <v>0</v>
          </cell>
          <cell r="D32">
            <v>0</v>
          </cell>
          <cell r="E32">
            <v>0</v>
          </cell>
        </row>
        <row r="33">
          <cell r="B33" t="str">
            <v>Realizada até o Mês - CONCILIADO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B34" t="str">
            <v>TOTAL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B35" t="str">
            <v>TOTAL GERAL</v>
          </cell>
          <cell r="C35">
            <v>6385386</v>
          </cell>
          <cell r="D35">
            <v>8401249.08</v>
          </cell>
          <cell r="E35">
            <v>9394771.71</v>
          </cell>
          <cell r="F35">
            <v>9394771.71</v>
          </cell>
          <cell r="G35">
            <v>9394771.71</v>
          </cell>
          <cell r="H35">
            <v>9394771.71</v>
          </cell>
          <cell r="I35">
            <v>9394771.71</v>
          </cell>
          <cell r="J35">
            <v>9394771.71</v>
          </cell>
          <cell r="K35">
            <v>9394771.71</v>
          </cell>
          <cell r="L35">
            <v>9394771.71</v>
          </cell>
          <cell r="M35">
            <v>9394771.71</v>
          </cell>
          <cell r="N35">
            <v>9394771.71</v>
          </cell>
        </row>
        <row r="37">
          <cell r="A37" t="str">
            <v>FONTE 08 - Tesouro Municipal - Recursos Vinculados</v>
          </cell>
        </row>
        <row r="38">
          <cell r="A38" t="str">
            <v>1.9.1.5.99.04.00.00 - FUMCAD - Multas Decorrentes De Sentenças Judiciais</v>
          </cell>
          <cell r="B38" t="str">
            <v>Receita Prevista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B39" t="str">
            <v>Realizada no Mês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B40" t="str">
            <v>Realizada no Mês - CONCILIADO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B41" t="str">
            <v>DIFERENÇA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B42" t="str">
            <v>Realizada até o Mês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B43" t="str">
            <v>Realizada até o Mês - CONCILIADO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B44" t="str">
            <v>TOTAL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6">
          <cell r="A46" t="str">
            <v>RAZÃO DE ARRECADAÇÃO</v>
          </cell>
        </row>
        <row r="47">
          <cell r="A47" t="str">
            <v>1.3.2.9.01.54.00.00</v>
          </cell>
          <cell r="B47" t="str">
            <v>(22840) - FUMCAD</v>
          </cell>
          <cell r="C47">
            <v>343117.64</v>
          </cell>
          <cell r="D47">
            <v>901762.64</v>
          </cell>
          <cell r="E47">
            <v>648974.06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B48" t="str">
            <v>Valores Indevidos (-)</v>
          </cell>
          <cell r="C48">
            <v>0</v>
          </cell>
          <cell r="D48">
            <v>0</v>
          </cell>
          <cell r="E48">
            <v>0</v>
          </cell>
        </row>
        <row r="49">
          <cell r="A49" t="str">
            <v>1.7.5.0.51.00.00.00</v>
          </cell>
          <cell r="B49" t="str">
            <v>(22842) - FUMCAD - Imposto de Renda</v>
          </cell>
          <cell r="C49">
            <v>6042268.36</v>
          </cell>
          <cell r="D49">
            <v>1114100.44</v>
          </cell>
          <cell r="E49">
            <v>344548.57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B50" t="str">
            <v>Valores Indevidos (-)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1.9.1.9.32.01.00.00</v>
          </cell>
          <cell r="B51" t="str">
            <v>(570) - FUMCAD - Outras Restit.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>1.9.9.0.99.03.00.00</v>
          </cell>
          <cell r="B52" t="str">
            <v>(552) FUMCAD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1.9.1.9.32.20.02.00</v>
          </cell>
          <cell r="B53" t="str">
            <v>(23239) - FUMCAD - Multas Judiciais</v>
          </cell>
          <cell r="C53">
            <v>0</v>
          </cell>
          <cell r="D53">
            <v>0</v>
          </cell>
          <cell r="E53">
            <v>0</v>
          </cell>
        </row>
        <row r="54">
          <cell r="B54" t="str">
            <v>TOTAL</v>
          </cell>
          <cell r="C54">
            <v>6385386</v>
          </cell>
          <cell r="D54">
            <v>2015863.08</v>
          </cell>
          <cell r="E54">
            <v>993522.6300000001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6">
          <cell r="A56" t="str">
            <v>RAZÃO DE DISPONÍVEIS</v>
          </cell>
        </row>
        <row r="57">
          <cell r="A57" t="str">
            <v>Conta Corrente</v>
          </cell>
          <cell r="B57" t="str">
            <v>Saldo Inicial</v>
          </cell>
        </row>
        <row r="58">
          <cell r="A58" t="str">
            <v>Cód. 100738 - Aplicação</v>
          </cell>
          <cell r="B58">
            <v>6948391.04</v>
          </cell>
          <cell r="C58">
            <v>48661049.7</v>
          </cell>
          <cell r="D58">
            <v>49790766.64</v>
          </cell>
          <cell r="E58">
            <v>50123055.06</v>
          </cell>
          <cell r="N58">
            <v>6948391.04</v>
          </cell>
        </row>
        <row r="59">
          <cell r="A59" t="str">
            <v>Cód. 100738 - 8946-X</v>
          </cell>
          <cell r="B59">
            <v>35858677.34</v>
          </cell>
          <cell r="C59">
            <v>158261.98</v>
          </cell>
          <cell r="D59">
            <v>16779.85</v>
          </cell>
          <cell r="E59">
            <v>27464</v>
          </cell>
          <cell r="N59">
            <v>35858677.34</v>
          </cell>
        </row>
        <row r="60">
          <cell r="A60" t="str">
            <v>Cód. 100071 - 5738-X</v>
          </cell>
          <cell r="B60">
            <v>4623344.16</v>
          </cell>
          <cell r="C60">
            <v>14523.27</v>
          </cell>
          <cell r="D60">
            <v>104013.76</v>
          </cell>
          <cell r="E60">
            <v>3562.37</v>
          </cell>
          <cell r="N60">
            <v>4623344.16</v>
          </cell>
        </row>
        <row r="61">
          <cell r="A61" t="str">
            <v>Cód. 100071 - Aplicação</v>
          </cell>
          <cell r="B61">
            <v>147591261.21</v>
          </cell>
          <cell r="C61">
            <v>151165790.49</v>
          </cell>
          <cell r="D61">
            <v>148461860.89</v>
          </cell>
          <cell r="E61">
            <v>146636348.52</v>
          </cell>
          <cell r="N61">
            <v>147591261.21</v>
          </cell>
        </row>
        <row r="62">
          <cell r="A62" t="str">
            <v>Cód. 100072 - 5737-1</v>
          </cell>
          <cell r="B62">
            <v>1594</v>
          </cell>
          <cell r="C62">
            <v>1594</v>
          </cell>
          <cell r="D62">
            <v>1594</v>
          </cell>
          <cell r="E62">
            <v>1594</v>
          </cell>
          <cell r="N62">
            <v>1594</v>
          </cell>
        </row>
        <row r="63">
          <cell r="A63" t="str">
            <v>Cód. 100072 - Aplicação</v>
          </cell>
          <cell r="B63">
            <v>124604.15</v>
          </cell>
          <cell r="C63">
            <v>124604.15</v>
          </cell>
          <cell r="D63">
            <v>124604.15</v>
          </cell>
          <cell r="E63">
            <v>124604.15</v>
          </cell>
          <cell r="N63">
            <v>124604.15</v>
          </cell>
        </row>
        <row r="64">
          <cell r="A64" t="str">
            <v>Relat Disponível (cod 341029) conta 65.000-4</v>
          </cell>
          <cell r="B64">
            <v>39.8</v>
          </cell>
          <cell r="C64">
            <v>39.8</v>
          </cell>
          <cell r="D64">
            <v>39.8</v>
          </cell>
          <cell r="E64">
            <v>39.8</v>
          </cell>
          <cell r="N64">
            <v>39.8</v>
          </cell>
        </row>
        <row r="65">
          <cell r="A65" t="str">
            <v>TOTAL</v>
          </cell>
          <cell r="B65">
            <v>195147911.70000002</v>
          </cell>
          <cell r="C65">
            <v>200125863.39000002</v>
          </cell>
          <cell r="D65">
            <v>198499659.09</v>
          </cell>
          <cell r="E65">
            <v>196916667.90000004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195147911.70000002</v>
          </cell>
        </row>
        <row r="67">
          <cell r="A67" t="str">
            <v>ACOMPANHAMENTO DE EXECUÇÃO ORÇAMENTÁRIA</v>
          </cell>
        </row>
        <row r="68">
          <cell r="A68" t="str">
            <v>POR FONTE RECURSO</v>
          </cell>
        </row>
        <row r="69">
          <cell r="A69" t="str">
            <v>FONTE 05</v>
          </cell>
          <cell r="B69" t="str">
            <v>Empenhado Até o Mês</v>
          </cell>
          <cell r="C69">
            <v>18952390</v>
          </cell>
          <cell r="D69">
            <v>21942888.91</v>
          </cell>
          <cell r="E69">
            <v>23577801.93</v>
          </cell>
        </row>
        <row r="70">
          <cell r="B70" t="str">
            <v>Pago Até o Mês</v>
          </cell>
          <cell r="C70">
            <v>0</v>
          </cell>
          <cell r="D70">
            <v>3088946.5</v>
          </cell>
          <cell r="E70">
            <v>5066546.02</v>
          </cell>
        </row>
        <row r="71">
          <cell r="B71" t="str">
            <v>Liquidado A Pagar</v>
          </cell>
          <cell r="C71">
            <v>0</v>
          </cell>
          <cell r="D71">
            <v>435440.35</v>
          </cell>
          <cell r="E71">
            <v>35694.36</v>
          </cell>
        </row>
        <row r="72">
          <cell r="B72" t="str">
            <v>     Retenção Extra</v>
          </cell>
          <cell r="C72">
            <v>0</v>
          </cell>
          <cell r="D72">
            <v>0</v>
          </cell>
          <cell r="E72">
            <v>0</v>
          </cell>
        </row>
        <row r="73">
          <cell r="B73" t="str">
            <v>NÃO Liquidado A Pagar</v>
          </cell>
          <cell r="C73">
            <v>18952390</v>
          </cell>
          <cell r="D73">
            <v>18418502.06</v>
          </cell>
          <cell r="E73">
            <v>18475561.55</v>
          </cell>
        </row>
        <row r="75">
          <cell r="A75" t="str">
            <v>FONTE 00</v>
          </cell>
          <cell r="B75" t="str">
            <v>Empenhado Até o Mês</v>
          </cell>
          <cell r="C75">
            <v>1500922.9</v>
          </cell>
          <cell r="D75">
            <v>1628699.26</v>
          </cell>
          <cell r="E75">
            <v>1628699.26</v>
          </cell>
        </row>
        <row r="76">
          <cell r="B76" t="str">
            <v>Pago Até o Mês</v>
          </cell>
          <cell r="C76">
            <v>0</v>
          </cell>
          <cell r="D76">
            <v>3503.71</v>
          </cell>
          <cell r="E76">
            <v>145286.44</v>
          </cell>
        </row>
        <row r="77">
          <cell r="B77" t="str">
            <v>Liquidado A Pagar</v>
          </cell>
          <cell r="C77">
            <v>0</v>
          </cell>
          <cell r="D77">
            <v>8808.47</v>
          </cell>
          <cell r="E77">
            <v>118278.41</v>
          </cell>
        </row>
        <row r="78">
          <cell r="B78" t="str">
            <v>     Retenção Extra</v>
          </cell>
          <cell r="C78">
            <v>0</v>
          </cell>
          <cell r="D78">
            <v>0</v>
          </cell>
          <cell r="E78">
            <v>3644.3</v>
          </cell>
        </row>
        <row r="79">
          <cell r="B79" t="str">
            <v>NÃO Liquidado A Pagar</v>
          </cell>
          <cell r="C79">
            <v>1500922.9</v>
          </cell>
          <cell r="D79">
            <v>1616387.08</v>
          </cell>
          <cell r="E79">
            <v>1365134.41</v>
          </cell>
        </row>
        <row r="81">
          <cell r="A81" t="str">
            <v>POR CONTA DE DESPESA</v>
          </cell>
        </row>
        <row r="82">
          <cell r="A82" t="str">
            <v>DESPESA CORRENTE</v>
          </cell>
          <cell r="B82" t="str">
            <v>Orçamento Inicial</v>
          </cell>
          <cell r="C82">
            <v>77313339</v>
          </cell>
          <cell r="D82">
            <v>77313339</v>
          </cell>
          <cell r="E82">
            <v>77313339</v>
          </cell>
        </row>
        <row r="83">
          <cell r="B83" t="str">
            <v>Orçamento Atualizado</v>
          </cell>
          <cell r="C83">
            <v>77313339</v>
          </cell>
          <cell r="D83">
            <v>77313339</v>
          </cell>
          <cell r="E83">
            <v>77313339</v>
          </cell>
        </row>
        <row r="84">
          <cell r="B84" t="str">
            <v>Empenhado Até o Mês</v>
          </cell>
          <cell r="C84">
            <v>19932129.62</v>
          </cell>
          <cell r="D84">
            <v>23021635.89</v>
          </cell>
          <cell r="E84">
            <v>24535932.99</v>
          </cell>
        </row>
        <row r="85">
          <cell r="B85" t="str">
            <v>Liquidado Até o Mês</v>
          </cell>
          <cell r="C85">
            <v>0</v>
          </cell>
          <cell r="D85">
            <v>3117740.75</v>
          </cell>
          <cell r="E85">
            <v>4889897.53</v>
          </cell>
        </row>
        <row r="86">
          <cell r="B86" t="str">
            <v>Pago Até o Mês</v>
          </cell>
          <cell r="C86">
            <v>0</v>
          </cell>
          <cell r="D86">
            <v>2673491.93</v>
          </cell>
          <cell r="E86">
            <v>4735924.76</v>
          </cell>
        </row>
        <row r="88">
          <cell r="A88" t="str">
            <v>DESPESA CAPITAL</v>
          </cell>
          <cell r="B88" t="str">
            <v>Orçamento Inicial</v>
          </cell>
          <cell r="C88">
            <v>10036500</v>
          </cell>
          <cell r="D88">
            <v>10036500</v>
          </cell>
          <cell r="E88">
            <v>10036500</v>
          </cell>
        </row>
        <row r="89">
          <cell r="B89" t="str">
            <v>Orçamento Atualizado</v>
          </cell>
          <cell r="C89">
            <v>10036500</v>
          </cell>
          <cell r="D89">
            <v>10036500</v>
          </cell>
          <cell r="E89">
            <v>10036500</v>
          </cell>
        </row>
        <row r="90">
          <cell r="B90" t="str">
            <v>Empenhado Até o Mês</v>
          </cell>
          <cell r="C90">
            <v>521183.28</v>
          </cell>
          <cell r="D90">
            <v>549952.28</v>
          </cell>
          <cell r="E90">
            <v>670568.2</v>
          </cell>
        </row>
        <row r="91">
          <cell r="B91" t="str">
            <v>Liquidado Até o Mês</v>
          </cell>
          <cell r="C91">
            <v>0</v>
          </cell>
          <cell r="D91">
            <v>418958.28</v>
          </cell>
          <cell r="E91">
            <v>475907.7</v>
          </cell>
        </row>
        <row r="92">
          <cell r="B92" t="str">
            <v>Pago Até o Mês</v>
          </cell>
          <cell r="C92">
            <v>0</v>
          </cell>
          <cell r="D92">
            <v>418958.28</v>
          </cell>
          <cell r="E92">
            <v>475907.7</v>
          </cell>
        </row>
        <row r="95">
          <cell r="A95" t="str">
            <v>ACOMPANHAMENTO DE EXECUÇÃO ORÇAMENTÁRIA - RESTO A PAGAR</v>
          </cell>
        </row>
        <row r="96">
          <cell r="A96" t="str">
            <v>POR FONTE RECURSO</v>
          </cell>
        </row>
        <row r="97">
          <cell r="A97" t="str">
            <v>PAGAMENTO</v>
          </cell>
          <cell r="B97" t="str">
            <v>Não Processado - FONTE 05</v>
          </cell>
          <cell r="C97">
            <v>626508.19</v>
          </cell>
          <cell r="D97">
            <v>1179629.0699999998</v>
          </cell>
          <cell r="E97">
            <v>1742849.01</v>
          </cell>
        </row>
        <row r="98">
          <cell r="B98" t="str">
            <v>Processado - FONTE 05</v>
          </cell>
          <cell r="C98">
            <v>0</v>
          </cell>
          <cell r="D98">
            <v>0</v>
          </cell>
          <cell r="E98">
            <v>0</v>
          </cell>
        </row>
        <row r="99">
          <cell r="B99" t="str">
            <v>TOTAL</v>
          </cell>
          <cell r="C99">
            <v>626508.19</v>
          </cell>
          <cell r="D99">
            <v>1179629.0699999998</v>
          </cell>
          <cell r="E99">
            <v>1742849.01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1">
          <cell r="A101" t="str">
            <v>PAGAMENTO</v>
          </cell>
          <cell r="B101" t="str">
            <v>Não Processado - FONTE 00</v>
          </cell>
          <cell r="C101">
            <v>0</v>
          </cell>
          <cell r="D101">
            <v>154619.88</v>
          </cell>
          <cell r="E101">
            <v>158701.23</v>
          </cell>
        </row>
        <row r="102">
          <cell r="B102" t="str">
            <v>Processado - FONTE 00</v>
          </cell>
          <cell r="C102">
            <v>9875.25</v>
          </cell>
          <cell r="D102">
            <v>9875.25</v>
          </cell>
          <cell r="E102">
            <v>9875.25</v>
          </cell>
        </row>
        <row r="103">
          <cell r="B103" t="str">
            <v>TOTAL</v>
          </cell>
          <cell r="C103">
            <v>9875.25</v>
          </cell>
          <cell r="D103">
            <v>164495.13</v>
          </cell>
          <cell r="E103">
            <v>168576.48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5">
          <cell r="A105" t="str">
            <v>POR CONTA DE DESPESA - DESPESA CORRENTE</v>
          </cell>
        </row>
        <row r="106">
          <cell r="A106" t="str">
            <v>SALDO TRANSFERIDO</v>
          </cell>
          <cell r="B106" t="str">
            <v>Não Processado</v>
          </cell>
          <cell r="C106">
            <v>5060915.05</v>
          </cell>
          <cell r="D106">
            <v>5060915.05</v>
          </cell>
          <cell r="E106">
            <v>5060915.05</v>
          </cell>
        </row>
        <row r="107">
          <cell r="B107" t="str">
            <v>Processado</v>
          </cell>
          <cell r="C107">
            <v>9875.25</v>
          </cell>
          <cell r="D107">
            <v>9875.25</v>
          </cell>
          <cell r="E107">
            <v>9875.25</v>
          </cell>
        </row>
        <row r="108">
          <cell r="A108" t="str">
            <v>PAGAMENTO</v>
          </cell>
          <cell r="B108" t="str">
            <v>Não Processado</v>
          </cell>
          <cell r="C108">
            <v>626508.19</v>
          </cell>
          <cell r="D108">
            <v>1334248.95</v>
          </cell>
          <cell r="E108">
            <v>1901550.24</v>
          </cell>
        </row>
        <row r="109">
          <cell r="B109" t="str">
            <v>Processado</v>
          </cell>
          <cell r="C109">
            <v>9875.25</v>
          </cell>
          <cell r="D109">
            <v>9875.25</v>
          </cell>
          <cell r="E109">
            <v>9875.25</v>
          </cell>
        </row>
        <row r="110">
          <cell r="A110" t="str">
            <v>CANCELAMENTO</v>
          </cell>
          <cell r="B110" t="str">
            <v>Não Processado</v>
          </cell>
          <cell r="C110">
            <v>411154.85</v>
          </cell>
          <cell r="D110">
            <v>510949.06999999995</v>
          </cell>
          <cell r="E110">
            <v>786881.41</v>
          </cell>
        </row>
        <row r="111">
          <cell r="B111" t="str">
            <v>Processado</v>
          </cell>
          <cell r="C111">
            <v>0</v>
          </cell>
          <cell r="D111">
            <v>0</v>
          </cell>
          <cell r="E111">
            <v>0</v>
          </cell>
        </row>
        <row r="112">
          <cell r="A112" t="str">
            <v>POR CONTA DE DESPESA - DESPESA CAPITAL</v>
          </cell>
        </row>
        <row r="113">
          <cell r="A113" t="str">
            <v>SALDO TRANSFERIDO</v>
          </cell>
          <cell r="B113" t="str">
            <v>Não Processado</v>
          </cell>
          <cell r="C113">
            <v>171653.8</v>
          </cell>
          <cell r="D113">
            <v>171653.8</v>
          </cell>
          <cell r="E113">
            <v>171653.8</v>
          </cell>
        </row>
        <row r="114">
          <cell r="B114" t="str">
            <v>Processado</v>
          </cell>
          <cell r="C114">
            <v>0</v>
          </cell>
          <cell r="D114">
            <v>0</v>
          </cell>
          <cell r="E114">
            <v>0</v>
          </cell>
        </row>
        <row r="115">
          <cell r="A115" t="str">
            <v>PAGAMENTO</v>
          </cell>
          <cell r="B115" t="str">
            <v>Não Processado</v>
          </cell>
          <cell r="C115">
            <v>0</v>
          </cell>
          <cell r="D115">
            <v>0</v>
          </cell>
          <cell r="E115">
            <v>0</v>
          </cell>
        </row>
        <row r="116">
          <cell r="B116" t="str">
            <v>Processado</v>
          </cell>
          <cell r="C116">
            <v>0</v>
          </cell>
          <cell r="D116">
            <v>0</v>
          </cell>
          <cell r="E116">
            <v>0</v>
          </cell>
        </row>
        <row r="117">
          <cell r="A117" t="str">
            <v>CANCELAMENTO</v>
          </cell>
          <cell r="B117" t="str">
            <v>Não Processado</v>
          </cell>
          <cell r="C117">
            <v>88715</v>
          </cell>
          <cell r="D117">
            <v>88715</v>
          </cell>
          <cell r="E117">
            <v>88715</v>
          </cell>
        </row>
        <row r="118">
          <cell r="B118" t="str">
            <v>Processado</v>
          </cell>
          <cell r="C118">
            <v>0</v>
          </cell>
          <cell r="D118">
            <v>0</v>
          </cell>
          <cell r="E118">
            <v>0</v>
          </cell>
        </row>
        <row r="120">
          <cell r="A120" t="str">
            <v>A.E.O. - RESTO A PAGAR - COMPETÊNCIAS ANTERIORES</v>
          </cell>
        </row>
        <row r="121">
          <cell r="A121" t="str">
            <v>POR CONTA DE DESPESA - DESPESA CORRENTE</v>
          </cell>
        </row>
        <row r="122">
          <cell r="A122" t="str">
            <v>SALDO TRANSFERIDO</v>
          </cell>
          <cell r="B122" t="str">
            <v>Não Processado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B123" t="str">
            <v>Processado</v>
          </cell>
          <cell r="C123">
            <v>11541.36</v>
          </cell>
          <cell r="D123">
            <v>11541.36</v>
          </cell>
          <cell r="E123">
            <v>11541.36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4">
          <cell r="A124" t="str">
            <v>PAGAMENTO</v>
          </cell>
          <cell r="B124" t="str">
            <v>Não Processado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B125" t="str">
            <v>Processado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A126" t="str">
            <v>CANCELAMENTO</v>
          </cell>
          <cell r="B126" t="str">
            <v>Não Processado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</row>
        <row r="127">
          <cell r="B127" t="str">
            <v>Processado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A128" t="str">
            <v>POR CONTA DE DESPESA - DESPESA CAPITAL</v>
          </cell>
        </row>
        <row r="129">
          <cell r="A129" t="str">
            <v>SALDO TRANSFERIDO</v>
          </cell>
          <cell r="B129" t="str">
            <v>Não Processado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B130" t="str">
            <v>Processado</v>
          </cell>
          <cell r="C130">
            <v>1500</v>
          </cell>
          <cell r="D130">
            <v>1500</v>
          </cell>
          <cell r="E130">
            <v>1500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A131" t="str">
            <v>PAGAMENTO</v>
          </cell>
          <cell r="B131" t="str">
            <v>Não Processado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B132" t="str">
            <v>Processado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A133" t="str">
            <v>CANCELAMENTO</v>
          </cell>
          <cell r="B133" t="str">
            <v>Não Processado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B134" t="str">
            <v>Processado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7">
          <cell r="A137" t="str">
            <v>TRANSFERÊNCIAS FINANCEIRAS RECEBIDAS (II)</v>
          </cell>
        </row>
        <row r="138">
          <cell r="A138" t="str">
            <v>PARA  EXECUÇÃO ORÇAMENTÁRIA</v>
          </cell>
        </row>
        <row r="145">
          <cell r="B145" t="str">
            <v>TOTAL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8">
          <cell r="A148" t="str">
            <v>TRANSFERÊNCIAS FINANCEIRAS CONCEDIDAS (VII)</v>
          </cell>
        </row>
        <row r="149">
          <cell r="A149" t="str">
            <v>PARA  EXECUÇÃO ORÇAMENTÁRIA</v>
          </cell>
        </row>
        <row r="156">
          <cell r="B156" t="str">
            <v>TOTAL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</sheetData>
      <sheetData sheetId="1">
        <row r="5">
          <cell r="A5">
            <v>41699</v>
          </cell>
        </row>
        <row r="18">
          <cell r="D18">
            <v>9394771.71</v>
          </cell>
          <cell r="K18">
            <v>23577801.93</v>
          </cell>
        </row>
        <row r="20">
          <cell r="D20">
            <v>0</v>
          </cell>
        </row>
        <row r="22">
          <cell r="D22">
            <v>0</v>
          </cell>
          <cell r="K22">
            <v>0</v>
          </cell>
        </row>
        <row r="28">
          <cell r="D28">
            <v>18475561.55</v>
          </cell>
          <cell r="K28">
            <v>1742849.01</v>
          </cell>
        </row>
        <row r="30">
          <cell r="D30">
            <v>35694.36</v>
          </cell>
          <cell r="K30">
            <v>0</v>
          </cell>
        </row>
        <row r="32">
          <cell r="D32">
            <v>6649.08</v>
          </cell>
          <cell r="K32">
            <v>823269.5599999999</v>
          </cell>
        </row>
        <row r="35">
          <cell r="D35">
            <v>195147911.70000002</v>
          </cell>
          <cell r="K35">
            <v>196916667.90000004</v>
          </cell>
        </row>
      </sheetData>
      <sheetData sheetId="2">
        <row r="8">
          <cell r="K8">
            <v>1628699.26</v>
          </cell>
        </row>
        <row r="20">
          <cell r="D20">
            <v>313862.92000000004</v>
          </cell>
        </row>
        <row r="25">
          <cell r="D25">
            <v>1365134.41</v>
          </cell>
          <cell r="K25">
            <v>158701.23</v>
          </cell>
        </row>
        <row r="27">
          <cell r="D27">
            <v>114634.11</v>
          </cell>
          <cell r="K27">
            <v>9875.25</v>
          </cell>
        </row>
        <row r="30">
          <cell r="D30">
            <v>3644.3</v>
          </cell>
        </row>
      </sheetData>
      <sheetData sheetId="4">
        <row r="1">
          <cell r="A1">
            <v>41699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4">
    <tabColor indexed="42"/>
  </sheetPr>
  <dimension ref="A1:Q60"/>
  <sheetViews>
    <sheetView showGridLines="0" showOutlineSymbols="0" zoomScale="115" zoomScaleNormal="115" workbookViewId="0" topLeftCell="A1">
      <selection activeCell="K52" sqref="K52:N52"/>
    </sheetView>
  </sheetViews>
  <sheetFormatPr defaultColWidth="6.8515625" defaultRowHeight="13.5" customHeight="1"/>
  <cols>
    <col min="1" max="1" width="9.8515625" style="1" customWidth="1"/>
    <col min="2" max="2" width="12.8515625" style="1" bestFit="1" customWidth="1"/>
    <col min="3" max="6" width="7.28125" style="1" customWidth="1"/>
    <col min="7" max="7" width="15.140625" style="1" customWidth="1"/>
    <col min="8" max="12" width="9.8515625" style="1" customWidth="1"/>
    <col min="13" max="13" width="7.28125" style="1" customWidth="1"/>
    <col min="14" max="14" width="15.57421875" style="30" customWidth="1"/>
    <col min="15" max="15" width="14.421875" style="1" bestFit="1" customWidth="1"/>
    <col min="16" max="16" width="14.28125" style="1" bestFit="1" customWidth="1"/>
    <col min="17" max="17" width="9.00390625" style="1" bestFit="1" customWidth="1"/>
    <col min="18" max="16384" width="6.8515625" style="1" customWidth="1"/>
  </cols>
  <sheetData>
    <row r="1" spans="1:14" ht="13.5" customHeight="1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</row>
    <row r="2" spans="1:16" ht="15" customHeight="1">
      <c r="A2" s="160" t="s">
        <v>1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P2" s="2"/>
    </row>
    <row r="3" spans="1:14" ht="15" customHeight="1">
      <c r="A3" s="159" t="s">
        <v>2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</row>
    <row r="4" spans="1:14" ht="13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 t="s">
        <v>3</v>
      </c>
    </row>
    <row r="5" spans="1:14" ht="19.5" customHeight="1">
      <c r="A5" s="156" t="s">
        <v>4</v>
      </c>
      <c r="B5" s="157"/>
      <c r="C5" s="157"/>
      <c r="D5" s="157"/>
      <c r="E5" s="157"/>
      <c r="F5" s="157"/>
      <c r="G5" s="157"/>
      <c r="H5" s="156" t="s">
        <v>5</v>
      </c>
      <c r="I5" s="157"/>
      <c r="J5" s="157"/>
      <c r="K5" s="157"/>
      <c r="L5" s="157"/>
      <c r="M5" s="157"/>
      <c r="N5" s="158"/>
    </row>
    <row r="6" spans="1:14" ht="19.5" customHeight="1">
      <c r="A6" s="119" t="s">
        <v>6</v>
      </c>
      <c r="B6" s="120"/>
      <c r="C6" s="120"/>
      <c r="D6" s="120"/>
      <c r="E6" s="120"/>
      <c r="F6" s="47"/>
      <c r="G6" s="5" t="s">
        <v>7</v>
      </c>
      <c r="H6" s="161" t="s">
        <v>6</v>
      </c>
      <c r="I6" s="162"/>
      <c r="J6" s="162"/>
      <c r="K6" s="162"/>
      <c r="L6" s="162"/>
      <c r="M6" s="163"/>
      <c r="N6" s="5" t="s">
        <v>7</v>
      </c>
    </row>
    <row r="7" spans="1:16" ht="13.5" customHeight="1">
      <c r="A7" s="48" t="s">
        <v>8</v>
      </c>
      <c r="B7" s="148"/>
      <c r="C7" s="148"/>
      <c r="D7" s="148"/>
      <c r="E7" s="148"/>
      <c r="F7" s="149"/>
      <c r="G7" s="6">
        <f>SUBTOTAL(9,G8:G19)</f>
        <v>9394771.71</v>
      </c>
      <c r="H7" s="48" t="s">
        <v>9</v>
      </c>
      <c r="I7" s="148"/>
      <c r="J7" s="148"/>
      <c r="K7" s="148"/>
      <c r="L7" s="148"/>
      <c r="M7" s="149"/>
      <c r="N7" s="6">
        <f>SUBTOTAL(9,N8:N19)</f>
        <v>25206501.19</v>
      </c>
      <c r="O7" s="7"/>
      <c r="P7" s="8"/>
    </row>
    <row r="8" spans="1:15" ht="13.5" customHeight="1">
      <c r="A8" s="150" t="s">
        <v>10</v>
      </c>
      <c r="B8" s="151"/>
      <c r="C8" s="152"/>
      <c r="D8" s="152"/>
      <c r="E8" s="152"/>
      <c r="F8" s="153"/>
      <c r="G8" s="9">
        <f>SUBTOTAL(9,G9:G11)</f>
        <v>0</v>
      </c>
      <c r="H8" s="150" t="s">
        <v>10</v>
      </c>
      <c r="I8" s="152"/>
      <c r="J8" s="152"/>
      <c r="K8" s="152"/>
      <c r="L8" s="152"/>
      <c r="M8" s="151"/>
      <c r="N8" s="6">
        <f>SUBTOTAL(9,N9:N11)</f>
        <v>1628699.26</v>
      </c>
      <c r="O8" s="10"/>
    </row>
    <row r="9" spans="1:16" ht="13.5" customHeight="1">
      <c r="A9" s="142" t="s">
        <v>11</v>
      </c>
      <c r="B9" s="143"/>
      <c r="C9" s="144"/>
      <c r="D9" s="144"/>
      <c r="E9" s="144"/>
      <c r="F9" s="145"/>
      <c r="G9" s="11">
        <f>+'[1]B.F. 00'!D8+'[1]B.F. 05'!D10</f>
        <v>0</v>
      </c>
      <c r="H9" s="142" t="s">
        <v>11</v>
      </c>
      <c r="I9" s="154"/>
      <c r="J9" s="154"/>
      <c r="K9" s="154"/>
      <c r="L9" s="154"/>
      <c r="M9" s="143"/>
      <c r="N9" s="11">
        <f>+'[1]B.F. 00'!K8+'[1]B.F. 05'!K10</f>
        <v>1628699.26</v>
      </c>
      <c r="O9" s="7"/>
      <c r="P9" s="2"/>
    </row>
    <row r="10" spans="1:14" ht="13.5" customHeight="1">
      <c r="A10" s="142" t="s">
        <v>12</v>
      </c>
      <c r="B10" s="143"/>
      <c r="C10" s="154"/>
      <c r="D10" s="154"/>
      <c r="E10" s="154"/>
      <c r="F10" s="145"/>
      <c r="G10" s="11">
        <f>+'[1]B.F. 00'!D9+'[1]B.F. 05'!D11</f>
        <v>0</v>
      </c>
      <c r="H10" s="142" t="s">
        <v>12</v>
      </c>
      <c r="I10" s="154"/>
      <c r="J10" s="154"/>
      <c r="K10" s="154"/>
      <c r="L10" s="154"/>
      <c r="M10" s="143"/>
      <c r="N10" s="11">
        <f>+'[1]B.F. 00'!K9+'[1]B.F. 05'!K11</f>
        <v>0</v>
      </c>
    </row>
    <row r="11" spans="1:14" ht="13.5" customHeight="1">
      <c r="A11" s="142" t="s">
        <v>13</v>
      </c>
      <c r="B11" s="143"/>
      <c r="C11" s="154"/>
      <c r="D11" s="154"/>
      <c r="E11" s="154"/>
      <c r="F11" s="145"/>
      <c r="G11" s="11">
        <f>+'[1]B.F. 00'!D10+'[1]B.F. 05'!D12</f>
        <v>0</v>
      </c>
      <c r="H11" s="142" t="s">
        <v>13</v>
      </c>
      <c r="I11" s="154"/>
      <c r="J11" s="154"/>
      <c r="K11" s="154"/>
      <c r="L11" s="154"/>
      <c r="M11" s="143"/>
      <c r="N11" s="11">
        <f>+'[1]B.F. 00'!K10+'[1]B.F. 05'!K12</f>
        <v>0</v>
      </c>
    </row>
    <row r="12" spans="1:16" ht="13.5" customHeight="1">
      <c r="A12" s="146" t="s">
        <v>14</v>
      </c>
      <c r="B12" s="147"/>
      <c r="C12" s="117"/>
      <c r="D12" s="117"/>
      <c r="E12" s="117"/>
      <c r="F12" s="118"/>
      <c r="G12" s="12">
        <f>SUBTOTAL(9,G13:G19)</f>
        <v>9394771.71</v>
      </c>
      <c r="H12" s="146" t="s">
        <v>14</v>
      </c>
      <c r="I12" s="117"/>
      <c r="J12" s="117"/>
      <c r="K12" s="117"/>
      <c r="L12" s="117"/>
      <c r="M12" s="147"/>
      <c r="N12" s="12">
        <f>SUBTOTAL(9,N13:N19)</f>
        <v>23577801.93</v>
      </c>
      <c r="P12" s="2"/>
    </row>
    <row r="13" spans="1:14" ht="13.5" customHeight="1">
      <c r="A13" s="142" t="s">
        <v>15</v>
      </c>
      <c r="B13" s="143"/>
      <c r="C13" s="154"/>
      <c r="D13" s="154"/>
      <c r="E13" s="154"/>
      <c r="F13" s="145"/>
      <c r="G13" s="11">
        <f>+'[1]B.F. 00'!D12+'[1]B.F. 05'!D14</f>
        <v>0</v>
      </c>
      <c r="H13" s="142" t="s">
        <v>15</v>
      </c>
      <c r="I13" s="154"/>
      <c r="J13" s="154"/>
      <c r="K13" s="154"/>
      <c r="L13" s="154"/>
      <c r="M13" s="143"/>
      <c r="N13" s="11">
        <f>+'[1]B.F. 00'!K12+'[1]B.F. 05'!K14</f>
        <v>0</v>
      </c>
    </row>
    <row r="14" spans="1:14" ht="13.5" customHeight="1">
      <c r="A14" s="142" t="s">
        <v>16</v>
      </c>
      <c r="B14" s="143"/>
      <c r="C14" s="154"/>
      <c r="D14" s="154"/>
      <c r="E14" s="154"/>
      <c r="F14" s="145"/>
      <c r="G14" s="11">
        <f>+'[1]B.F. 00'!D13+'[1]B.F. 05'!D15</f>
        <v>0</v>
      </c>
      <c r="H14" s="142" t="s">
        <v>16</v>
      </c>
      <c r="I14" s="154"/>
      <c r="J14" s="154"/>
      <c r="K14" s="154"/>
      <c r="L14" s="154"/>
      <c r="M14" s="143"/>
      <c r="N14" s="11">
        <f>+'[1]B.F. 00'!K13+'[1]B.F. 05'!K15</f>
        <v>0</v>
      </c>
    </row>
    <row r="15" spans="1:14" ht="13.5" customHeight="1">
      <c r="A15" s="142" t="s">
        <v>17</v>
      </c>
      <c r="B15" s="143"/>
      <c r="C15" s="154"/>
      <c r="D15" s="154"/>
      <c r="E15" s="154"/>
      <c r="F15" s="145"/>
      <c r="G15" s="11">
        <f>+'[1]B.F. 00'!D14+'[1]B.F. 05'!D16</f>
        <v>0</v>
      </c>
      <c r="H15" s="142" t="s">
        <v>17</v>
      </c>
      <c r="I15" s="154"/>
      <c r="J15" s="154"/>
      <c r="K15" s="154"/>
      <c r="L15" s="154"/>
      <c r="M15" s="143"/>
      <c r="N15" s="11">
        <f>+'[1]B.F. 00'!K14+'[1]B.F. 05'!K16</f>
        <v>0</v>
      </c>
    </row>
    <row r="16" spans="1:14" ht="13.5" customHeight="1">
      <c r="A16" s="142" t="s">
        <v>18</v>
      </c>
      <c r="B16" s="143"/>
      <c r="C16" s="154"/>
      <c r="D16" s="154"/>
      <c r="E16" s="154"/>
      <c r="F16" s="145"/>
      <c r="G16" s="11">
        <f>+'[1]B.F. 00'!D15+'[1]B.F. 05'!D17</f>
        <v>0</v>
      </c>
      <c r="H16" s="142" t="s">
        <v>18</v>
      </c>
      <c r="I16" s="154"/>
      <c r="J16" s="154"/>
      <c r="K16" s="154"/>
      <c r="L16" s="154"/>
      <c r="M16" s="143"/>
      <c r="N16" s="11">
        <f>+'[1]B.F. 00'!K15+'[1]B.F. 05'!K17</f>
        <v>0</v>
      </c>
    </row>
    <row r="17" spans="1:15" ht="13.5" customHeight="1">
      <c r="A17" s="142" t="s">
        <v>19</v>
      </c>
      <c r="B17" s="143"/>
      <c r="C17" s="154"/>
      <c r="D17" s="154"/>
      <c r="E17" s="154"/>
      <c r="F17" s="145"/>
      <c r="G17" s="11">
        <f>'[1]B.F. 00'!D16+'[1]B.F. 05'!D18</f>
        <v>9394771.71</v>
      </c>
      <c r="H17" s="142" t="s">
        <v>19</v>
      </c>
      <c r="I17" s="154"/>
      <c r="J17" s="154"/>
      <c r="K17" s="154"/>
      <c r="L17" s="154"/>
      <c r="M17" s="143"/>
      <c r="N17" s="11">
        <f>+'[1]B.F. 00'!K16+'[1]B.F. 05'!K18</f>
        <v>23577801.93</v>
      </c>
      <c r="O17" s="8"/>
    </row>
    <row r="18" spans="1:14" ht="13.5" customHeight="1">
      <c r="A18" s="142" t="s">
        <v>20</v>
      </c>
      <c r="B18" s="143"/>
      <c r="C18" s="154"/>
      <c r="D18" s="154"/>
      <c r="E18" s="154"/>
      <c r="F18" s="145"/>
      <c r="G18" s="11">
        <f>+'[1]B.F. 00'!D17+'[1]B.F. 05'!D19</f>
        <v>0</v>
      </c>
      <c r="H18" s="142" t="s">
        <v>20</v>
      </c>
      <c r="I18" s="154"/>
      <c r="J18" s="154"/>
      <c r="K18" s="154"/>
      <c r="L18" s="154"/>
      <c r="M18" s="143"/>
      <c r="N18" s="11">
        <f>+'[1]B.F. 00'!K17+'[1]B.F. 05'!K19</f>
        <v>0</v>
      </c>
    </row>
    <row r="19" spans="1:14" ht="13.5" customHeight="1">
      <c r="A19" s="167" t="s">
        <v>21</v>
      </c>
      <c r="B19" s="168"/>
      <c r="C19" s="169"/>
      <c r="D19" s="169"/>
      <c r="E19" s="169"/>
      <c r="F19" s="170"/>
      <c r="G19" s="13">
        <f>+'[1]B.F. 00'!D18+'[1]B.F. 05'!D20</f>
        <v>0</v>
      </c>
      <c r="H19" s="167" t="s">
        <v>21</v>
      </c>
      <c r="I19" s="169"/>
      <c r="J19" s="169"/>
      <c r="K19" s="169"/>
      <c r="L19" s="169"/>
      <c r="M19" s="168"/>
      <c r="N19" s="13">
        <f>+'[1]B.F. 00'!K18+'[1]B.F. 05'!K20</f>
        <v>0</v>
      </c>
    </row>
    <row r="20" spans="1:16" ht="13.5" customHeight="1">
      <c r="A20" s="48" t="s">
        <v>22</v>
      </c>
      <c r="B20" s="148"/>
      <c r="C20" s="148"/>
      <c r="D20" s="148"/>
      <c r="E20" s="148"/>
      <c r="F20" s="149"/>
      <c r="G20" s="14">
        <f>SUM(G21:G24)</f>
        <v>313862.92000000004</v>
      </c>
      <c r="H20" s="48" t="s">
        <v>23</v>
      </c>
      <c r="I20" s="148"/>
      <c r="J20" s="148"/>
      <c r="K20" s="148"/>
      <c r="L20" s="148"/>
      <c r="M20" s="149"/>
      <c r="N20" s="15">
        <f>SUM(N21:N24)</f>
        <v>0</v>
      </c>
      <c r="P20" s="2"/>
    </row>
    <row r="21" spans="1:14" ht="13.5" customHeight="1">
      <c r="A21" s="146" t="s">
        <v>24</v>
      </c>
      <c r="B21" s="147"/>
      <c r="C21" s="117"/>
      <c r="D21" s="117"/>
      <c r="E21" s="117"/>
      <c r="F21" s="118"/>
      <c r="G21" s="11">
        <f>'[1]B.F. 00'!D20+'[1]B.F. 05'!D22</f>
        <v>313862.92000000004</v>
      </c>
      <c r="H21" s="150" t="s">
        <v>24</v>
      </c>
      <c r="I21" s="152"/>
      <c r="J21" s="152"/>
      <c r="K21" s="152"/>
      <c r="L21" s="152"/>
      <c r="M21" s="151"/>
      <c r="N21" s="11">
        <f>+'[1]B.F. 00'!K20+'[1]B.F. 05'!K22</f>
        <v>0</v>
      </c>
    </row>
    <row r="22" spans="1:14" ht="13.5" customHeight="1">
      <c r="A22" s="146" t="s">
        <v>25</v>
      </c>
      <c r="B22" s="147"/>
      <c r="C22" s="117"/>
      <c r="D22" s="117"/>
      <c r="E22" s="117"/>
      <c r="F22" s="118"/>
      <c r="G22" s="11">
        <f>+'[1]B.F. 00'!D21+'[1]B.F. 05'!D23</f>
        <v>0</v>
      </c>
      <c r="H22" s="146" t="s">
        <v>25</v>
      </c>
      <c r="I22" s="117"/>
      <c r="J22" s="117"/>
      <c r="K22" s="117"/>
      <c r="L22" s="117"/>
      <c r="M22" s="147"/>
      <c r="N22" s="11">
        <f>+'[1]B.F. 00'!K21+'[1]B.F. 05'!K23</f>
        <v>0</v>
      </c>
    </row>
    <row r="23" spans="1:14" ht="13.5" customHeight="1">
      <c r="A23" s="146" t="s">
        <v>26</v>
      </c>
      <c r="B23" s="147"/>
      <c r="C23" s="117"/>
      <c r="D23" s="117"/>
      <c r="E23" s="117"/>
      <c r="F23" s="118"/>
      <c r="G23" s="11">
        <f>+'[1]B.F. 00'!D22+'[1]B.F. 05'!D24</f>
        <v>0</v>
      </c>
      <c r="H23" s="146" t="s">
        <v>26</v>
      </c>
      <c r="I23" s="117"/>
      <c r="J23" s="117"/>
      <c r="K23" s="117"/>
      <c r="L23" s="117"/>
      <c r="M23" s="147"/>
      <c r="N23" s="11">
        <f>+'[1]B.F. 00'!K22+'[1]B.F. 05'!K24</f>
        <v>0</v>
      </c>
    </row>
    <row r="24" spans="1:14" ht="13.5" customHeight="1">
      <c r="A24" s="146" t="s">
        <v>27</v>
      </c>
      <c r="B24" s="147"/>
      <c r="C24" s="117"/>
      <c r="D24" s="117"/>
      <c r="E24" s="117"/>
      <c r="F24" s="118"/>
      <c r="G24" s="11">
        <f>+'[1]B.F. 00'!D23+'[1]B.F. 05'!D25</f>
        <v>0</v>
      </c>
      <c r="H24" s="164" t="s">
        <v>27</v>
      </c>
      <c r="I24" s="165"/>
      <c r="J24" s="165"/>
      <c r="K24" s="165"/>
      <c r="L24" s="165"/>
      <c r="M24" s="166"/>
      <c r="N24" s="11">
        <f>+'[1]B.F. 00'!K23+'[1]B.F. 05'!K25</f>
        <v>0</v>
      </c>
    </row>
    <row r="25" spans="1:15" ht="13.5" customHeight="1">
      <c r="A25" s="48" t="s">
        <v>28</v>
      </c>
      <c r="B25" s="148"/>
      <c r="C25" s="148"/>
      <c r="D25" s="148"/>
      <c r="E25" s="148"/>
      <c r="F25" s="149"/>
      <c r="G25" s="15">
        <f>SUBTOTAL(9,G26:G31)</f>
        <v>20001317.81</v>
      </c>
      <c r="H25" s="48" t="s">
        <v>29</v>
      </c>
      <c r="I25" s="148"/>
      <c r="J25" s="148"/>
      <c r="K25" s="148"/>
      <c r="L25" s="148"/>
      <c r="M25" s="149"/>
      <c r="N25" s="15">
        <f>SUBTOTAL(9,N26:N31)</f>
        <v>2734695.05</v>
      </c>
      <c r="O25" s="8"/>
    </row>
    <row r="26" spans="1:14" ht="13.5" customHeight="1">
      <c r="A26" s="146" t="s">
        <v>30</v>
      </c>
      <c r="B26" s="147"/>
      <c r="C26" s="117"/>
      <c r="D26" s="117"/>
      <c r="E26" s="117"/>
      <c r="F26" s="118"/>
      <c r="G26" s="9">
        <f>+'[1]B.F. 00'!D25+'[1]B.F. 05'!D27</f>
        <v>1365134.41</v>
      </c>
      <c r="H26" s="150" t="s">
        <v>31</v>
      </c>
      <c r="I26" s="152"/>
      <c r="J26" s="152"/>
      <c r="K26" s="152"/>
      <c r="L26" s="152"/>
      <c r="M26" s="151"/>
      <c r="N26" s="11">
        <f>+'[1]B.F. 00'!K25+'[1]B.F. 05'!K27</f>
        <v>158701.23</v>
      </c>
    </row>
    <row r="27" spans="1:14" ht="13.5" customHeight="1">
      <c r="A27" s="146" t="s">
        <v>32</v>
      </c>
      <c r="B27" s="147"/>
      <c r="C27" s="117"/>
      <c r="D27" s="117"/>
      <c r="E27" s="117"/>
      <c r="F27" s="118"/>
      <c r="G27" s="11">
        <f>+'[1]B.F. 00'!D26+'[1]B.F. 05'!D28</f>
        <v>18475561.55</v>
      </c>
      <c r="H27" s="146" t="s">
        <v>33</v>
      </c>
      <c r="I27" s="117"/>
      <c r="J27" s="117"/>
      <c r="K27" s="117"/>
      <c r="L27" s="117"/>
      <c r="M27" s="147"/>
      <c r="N27" s="11">
        <f>+'[1]B.F. 00'!K26+'[1]B.F. 05'!K28</f>
        <v>1742849.01</v>
      </c>
    </row>
    <row r="28" spans="1:14" ht="13.5" customHeight="1">
      <c r="A28" s="146" t="s">
        <v>34</v>
      </c>
      <c r="B28" s="147"/>
      <c r="C28" s="117"/>
      <c r="D28" s="117"/>
      <c r="E28" s="117"/>
      <c r="F28" s="118"/>
      <c r="G28" s="11">
        <f>+'[1]B.F. 00'!D27+'[1]B.F. 05'!D29</f>
        <v>114634.11</v>
      </c>
      <c r="H28" s="146" t="s">
        <v>35</v>
      </c>
      <c r="I28" s="117"/>
      <c r="J28" s="117"/>
      <c r="K28" s="117"/>
      <c r="L28" s="117"/>
      <c r="M28" s="147"/>
      <c r="N28" s="11">
        <f>+'[1]B.F. 00'!K27+'[1]B.F. 05'!K29</f>
        <v>9875.25</v>
      </c>
    </row>
    <row r="29" spans="1:14" ht="13.5" customHeight="1">
      <c r="A29" s="146" t="s">
        <v>36</v>
      </c>
      <c r="B29" s="147"/>
      <c r="C29" s="117"/>
      <c r="D29" s="117"/>
      <c r="E29" s="117"/>
      <c r="F29" s="118"/>
      <c r="G29" s="11">
        <f>+'[1]B.F. 00'!D28+'[1]B.F. 05'!D30</f>
        <v>35694.36</v>
      </c>
      <c r="H29" s="146" t="s">
        <v>37</v>
      </c>
      <c r="I29" s="117"/>
      <c r="J29" s="117"/>
      <c r="K29" s="117"/>
      <c r="L29" s="117"/>
      <c r="M29" s="147"/>
      <c r="N29" s="11">
        <f>+'[1]B.F. 00'!K28+'[1]B.F. 05'!K30</f>
        <v>0</v>
      </c>
    </row>
    <row r="30" spans="1:14" ht="13.5" customHeight="1">
      <c r="A30" s="146" t="s">
        <v>38</v>
      </c>
      <c r="B30" s="147"/>
      <c r="C30" s="117"/>
      <c r="D30" s="117"/>
      <c r="E30" s="117"/>
      <c r="F30" s="118"/>
      <c r="G30" s="11">
        <f>+'[1]B.F. 00'!D29+'[1]B.F. 05'!D31</f>
        <v>0</v>
      </c>
      <c r="H30" s="146" t="s">
        <v>38</v>
      </c>
      <c r="I30" s="117"/>
      <c r="J30" s="117"/>
      <c r="K30" s="117"/>
      <c r="L30" s="117"/>
      <c r="M30" s="147"/>
      <c r="N30" s="11">
        <f>+'[1]B.F. 00'!K29+'[1]B.F. 05'!K31</f>
        <v>0</v>
      </c>
    </row>
    <row r="31" spans="1:14" ht="13.5" customHeight="1">
      <c r="A31" s="146" t="s">
        <v>39</v>
      </c>
      <c r="B31" s="147"/>
      <c r="C31" s="117"/>
      <c r="D31" s="117"/>
      <c r="E31" s="117"/>
      <c r="F31" s="118"/>
      <c r="G31" s="13">
        <f>+'[1]B.F. 00'!D30+'[1]B.F. 05'!D32</f>
        <v>10293.380000000001</v>
      </c>
      <c r="H31" s="164" t="s">
        <v>40</v>
      </c>
      <c r="I31" s="165"/>
      <c r="J31" s="165"/>
      <c r="K31" s="165"/>
      <c r="L31" s="165"/>
      <c r="M31" s="166"/>
      <c r="N31" s="11">
        <f>+'[1]B.F. 00'!K30+'[1]B.F. 05'!K32</f>
        <v>823269.5599999999</v>
      </c>
    </row>
    <row r="32" spans="1:17" ht="13.5" customHeight="1">
      <c r="A32" s="48" t="s">
        <v>41</v>
      </c>
      <c r="B32" s="148"/>
      <c r="C32" s="148"/>
      <c r="D32" s="148"/>
      <c r="E32" s="148"/>
      <c r="F32" s="149"/>
      <c r="G32" s="15">
        <f>SUBTOTAL(9,G33:G35)</f>
        <v>195147911.70000002</v>
      </c>
      <c r="H32" s="48" t="s">
        <v>42</v>
      </c>
      <c r="I32" s="148"/>
      <c r="J32" s="148"/>
      <c r="K32" s="148"/>
      <c r="L32" s="148"/>
      <c r="M32" s="149"/>
      <c r="N32" s="15">
        <f>SUBTOTAL(9,N33:N35)</f>
        <v>196916667.90000004</v>
      </c>
      <c r="O32" s="2"/>
      <c r="Q32" s="16"/>
    </row>
    <row r="33" spans="1:15" ht="13.5" customHeight="1">
      <c r="A33" s="146" t="s">
        <v>43</v>
      </c>
      <c r="B33" s="147"/>
      <c r="C33" s="117"/>
      <c r="D33" s="117"/>
      <c r="E33" s="117"/>
      <c r="F33" s="118"/>
      <c r="G33" s="11">
        <f>+'[1]B.F. 00'!D32+'[1]B.F. 05'!D34</f>
        <v>0</v>
      </c>
      <c r="H33" s="150" t="s">
        <v>43</v>
      </c>
      <c r="I33" s="152"/>
      <c r="J33" s="152"/>
      <c r="K33" s="152"/>
      <c r="L33" s="152"/>
      <c r="M33" s="151"/>
      <c r="N33" s="11">
        <f>+'[1]B.F. 00'!K32+'[1]B.F. 05'!K34</f>
        <v>0</v>
      </c>
      <c r="O33" s="2"/>
    </row>
    <row r="34" spans="1:15" ht="13.5" customHeight="1">
      <c r="A34" s="146" t="s">
        <v>44</v>
      </c>
      <c r="B34" s="147"/>
      <c r="C34" s="117"/>
      <c r="D34" s="117"/>
      <c r="E34" s="117"/>
      <c r="F34" s="118"/>
      <c r="G34" s="11">
        <f>+'[1]B.F. 05'!D35</f>
        <v>195147911.70000002</v>
      </c>
      <c r="H34" s="146" t="s">
        <v>44</v>
      </c>
      <c r="I34" s="117"/>
      <c r="J34" s="117"/>
      <c r="K34" s="117"/>
      <c r="L34" s="117"/>
      <c r="M34" s="147"/>
      <c r="N34" s="11">
        <f>+'[1]B.F. 00'!K33+'[1]B.F. 05'!K35</f>
        <v>196916667.90000004</v>
      </c>
      <c r="O34" s="2"/>
    </row>
    <row r="35" spans="1:14" ht="13.5" customHeight="1">
      <c r="A35" s="146" t="s">
        <v>38</v>
      </c>
      <c r="B35" s="147"/>
      <c r="C35" s="117"/>
      <c r="D35" s="117"/>
      <c r="E35" s="117"/>
      <c r="F35" s="118"/>
      <c r="G35" s="11">
        <f>+'[1]B.F. 00'!D34+'[1]B.F. 05'!D36</f>
        <v>0</v>
      </c>
      <c r="H35" s="164" t="s">
        <v>38</v>
      </c>
      <c r="I35" s="165"/>
      <c r="J35" s="165"/>
      <c r="K35" s="165"/>
      <c r="L35" s="165"/>
      <c r="M35" s="166"/>
      <c r="N35" s="11">
        <f>+'[1]B.F. 00'!K34+'[1]B.F. 05'!K36</f>
        <v>0</v>
      </c>
    </row>
    <row r="36" spans="1:16" ht="13.5" customHeight="1">
      <c r="A36" s="48" t="s">
        <v>45</v>
      </c>
      <c r="B36" s="149"/>
      <c r="C36" s="174"/>
      <c r="D36" s="174"/>
      <c r="E36" s="174"/>
      <c r="F36" s="175"/>
      <c r="G36" s="17">
        <f>G32+G25+G20+G7</f>
        <v>224857864.14000002</v>
      </c>
      <c r="H36" s="48" t="s">
        <v>46</v>
      </c>
      <c r="I36" s="148"/>
      <c r="J36" s="148"/>
      <c r="K36" s="148"/>
      <c r="L36" s="148"/>
      <c r="M36" s="149"/>
      <c r="N36" s="17">
        <f>N32+N25+N20+N7</f>
        <v>224857864.14000005</v>
      </c>
      <c r="O36" s="18">
        <f>G36-N36</f>
        <v>0</v>
      </c>
      <c r="P36" s="19"/>
    </row>
    <row r="37" spans="1:14" s="24" customFormat="1" ht="13.5" customHeight="1">
      <c r="A37" s="20" t="s">
        <v>47</v>
      </c>
      <c r="B37" s="21"/>
      <c r="C37" s="21"/>
      <c r="D37" s="21"/>
      <c r="E37" s="22"/>
      <c r="F37" s="22"/>
      <c r="G37" s="22"/>
      <c r="H37" s="21"/>
      <c r="I37" s="21"/>
      <c r="J37" s="21"/>
      <c r="K37" s="22"/>
      <c r="L37" s="22"/>
      <c r="M37" s="22"/>
      <c r="N37" s="23"/>
    </row>
    <row r="38" spans="1:16" s="24" customFormat="1" ht="4.5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6"/>
      <c r="P38" s="27"/>
    </row>
    <row r="39" spans="1:14" s="24" customFormat="1" ht="9">
      <c r="A39" s="20" t="s">
        <v>48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6"/>
    </row>
    <row r="40" spans="1:14" s="24" customFormat="1" ht="9">
      <c r="A40" s="172" t="s">
        <v>49</v>
      </c>
      <c r="B40" s="172"/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</row>
    <row r="41" spans="1:14" s="24" customFormat="1" ht="9">
      <c r="A41" s="172" t="s">
        <v>50</v>
      </c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</row>
    <row r="42" spans="1:14" s="24" customFormat="1" ht="11.25" customHeight="1">
      <c r="A42" s="177" t="s">
        <v>60</v>
      </c>
      <c r="B42" s="177"/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</row>
    <row r="43" spans="1:14" s="24" customFormat="1" ht="11.25" customHeight="1">
      <c r="A43" s="177" t="s">
        <v>61</v>
      </c>
      <c r="B43" s="177"/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</row>
    <row r="44" spans="1:14" s="24" customFormat="1" ht="11.25" customHeight="1">
      <c r="A44" s="178" t="s">
        <v>51</v>
      </c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</row>
    <row r="45" spans="1:14" s="24" customFormat="1" ht="11.25" customHeight="1">
      <c r="A45" s="177" t="s">
        <v>62</v>
      </c>
      <c r="B45" s="177"/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77"/>
    </row>
    <row r="46" spans="1:14" s="24" customFormat="1" ht="11.25" customHeight="1">
      <c r="A46" s="178" t="s">
        <v>52</v>
      </c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</row>
    <row r="47" s="29" customFormat="1" ht="11.25" customHeight="1"/>
    <row r="48" spans="9:14" ht="11.25">
      <c r="I48" s="30"/>
      <c r="N48" s="1"/>
    </row>
    <row r="49" spans="1:15" s="19" customFormat="1" ht="13.5" customHeight="1">
      <c r="A49" s="173" t="s">
        <v>53</v>
      </c>
      <c r="B49" s="173"/>
      <c r="C49" s="173"/>
      <c r="D49" s="173"/>
      <c r="E49" s="173"/>
      <c r="F49" s="181"/>
      <c r="G49" s="181"/>
      <c r="H49" s="181"/>
      <c r="I49" s="181"/>
      <c r="J49" s="181"/>
      <c r="K49" s="173" t="s">
        <v>54</v>
      </c>
      <c r="L49" s="173"/>
      <c r="M49" s="173"/>
      <c r="N49" s="173"/>
      <c r="O49" s="32"/>
    </row>
    <row r="50" spans="1:15" ht="13.5" customHeight="1">
      <c r="A50" s="176" t="s">
        <v>55</v>
      </c>
      <c r="B50" s="176"/>
      <c r="C50" s="176"/>
      <c r="D50" s="176"/>
      <c r="E50" s="176"/>
      <c r="F50" s="176"/>
      <c r="G50" s="176"/>
      <c r="H50" s="176"/>
      <c r="I50" s="176"/>
      <c r="J50" s="176"/>
      <c r="K50" s="182" t="s">
        <v>56</v>
      </c>
      <c r="L50" s="182"/>
      <c r="M50" s="182"/>
      <c r="N50" s="182"/>
      <c r="O50" s="34"/>
    </row>
    <row r="51" spans="1:15" ht="13.5" customHeight="1">
      <c r="A51" s="171" t="s">
        <v>57</v>
      </c>
      <c r="B51" s="171"/>
      <c r="C51" s="171"/>
      <c r="D51" s="171"/>
      <c r="E51" s="171"/>
      <c r="F51" s="171"/>
      <c r="G51" s="171"/>
      <c r="H51" s="171"/>
      <c r="I51" s="171"/>
      <c r="J51" s="171"/>
      <c r="K51" s="183" t="s">
        <v>58</v>
      </c>
      <c r="L51" s="183"/>
      <c r="M51" s="183"/>
      <c r="N51" s="183"/>
      <c r="O51" s="36"/>
    </row>
    <row r="52" spans="1:15" ht="13.5" customHeight="1">
      <c r="A52" s="180" t="s">
        <v>59</v>
      </c>
      <c r="B52" s="180"/>
      <c r="C52" s="180"/>
      <c r="D52" s="180"/>
      <c r="E52" s="180"/>
      <c r="F52" s="171"/>
      <c r="G52" s="171"/>
      <c r="H52" s="171"/>
      <c r="I52" s="171"/>
      <c r="J52" s="171"/>
      <c r="K52" s="171" t="s">
        <v>59</v>
      </c>
      <c r="L52" s="171"/>
      <c r="M52" s="171"/>
      <c r="N52" s="171"/>
      <c r="O52" s="36"/>
    </row>
    <row r="53" spans="12:14" ht="13.5" customHeight="1">
      <c r="L53" s="30"/>
      <c r="N53" s="1"/>
    </row>
    <row r="57" ht="13.5" customHeight="1">
      <c r="B57" s="2"/>
    </row>
    <row r="58" ht="11.25" customHeight="1">
      <c r="B58" s="38"/>
    </row>
    <row r="59" spans="1:14" ht="24" customHeight="1">
      <c r="A59" s="184"/>
      <c r="B59" s="184"/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</row>
    <row r="60" spans="1:14" ht="34.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</row>
  </sheetData>
  <sheetProtection/>
  <mergeCells count="88">
    <mergeCell ref="A60:N60"/>
    <mergeCell ref="A41:N41"/>
    <mergeCell ref="A42:N42"/>
    <mergeCell ref="A52:E52"/>
    <mergeCell ref="A51:E51"/>
    <mergeCell ref="F50:J50"/>
    <mergeCell ref="F49:J49"/>
    <mergeCell ref="K50:N50"/>
    <mergeCell ref="K51:N51"/>
    <mergeCell ref="A59:N59"/>
    <mergeCell ref="A35:F35"/>
    <mergeCell ref="A31:F31"/>
    <mergeCell ref="A32:F32"/>
    <mergeCell ref="H32:M32"/>
    <mergeCell ref="F51:J51"/>
    <mergeCell ref="K49:N49"/>
    <mergeCell ref="A36:F36"/>
    <mergeCell ref="A49:E49"/>
    <mergeCell ref="A50:E50"/>
    <mergeCell ref="A43:N43"/>
    <mergeCell ref="A45:N45"/>
    <mergeCell ref="A44:N44"/>
    <mergeCell ref="A46:N46"/>
    <mergeCell ref="H25:M25"/>
    <mergeCell ref="H27:M27"/>
    <mergeCell ref="H26:M26"/>
    <mergeCell ref="H21:M21"/>
    <mergeCell ref="H23:M23"/>
    <mergeCell ref="F52:J52"/>
    <mergeCell ref="H35:M35"/>
    <mergeCell ref="H34:M34"/>
    <mergeCell ref="H31:M31"/>
    <mergeCell ref="A40:N40"/>
    <mergeCell ref="K52:N52"/>
    <mergeCell ref="H33:M33"/>
    <mergeCell ref="A33:F33"/>
    <mergeCell ref="A34:F34"/>
    <mergeCell ref="H36:M36"/>
    <mergeCell ref="A16:F16"/>
    <mergeCell ref="H15:M15"/>
    <mergeCell ref="H16:M16"/>
    <mergeCell ref="H19:M19"/>
    <mergeCell ref="H17:M17"/>
    <mergeCell ref="A15:F15"/>
    <mergeCell ref="H20:M20"/>
    <mergeCell ref="A19:F19"/>
    <mergeCell ref="A18:F18"/>
    <mergeCell ref="A20:F20"/>
    <mergeCell ref="H18:M18"/>
    <mergeCell ref="H30:M30"/>
    <mergeCell ref="A25:F25"/>
    <mergeCell ref="A24:F24"/>
    <mergeCell ref="H22:M22"/>
    <mergeCell ref="H24:M24"/>
    <mergeCell ref="H29:M29"/>
    <mergeCell ref="H28:M28"/>
    <mergeCell ref="A26:F26"/>
    <mergeCell ref="A27:F27"/>
    <mergeCell ref="A28:F28"/>
    <mergeCell ref="H13:M13"/>
    <mergeCell ref="H14:M14"/>
    <mergeCell ref="A14:F14"/>
    <mergeCell ref="A13:F13"/>
    <mergeCell ref="H7:M7"/>
    <mergeCell ref="H6:M6"/>
    <mergeCell ref="H12:M12"/>
    <mergeCell ref="A12:F12"/>
    <mergeCell ref="H11:M11"/>
    <mergeCell ref="H10:M10"/>
    <mergeCell ref="H8:M8"/>
    <mergeCell ref="A10:F10"/>
    <mergeCell ref="A11:F11"/>
    <mergeCell ref="H9:M9"/>
    <mergeCell ref="A1:N1"/>
    <mergeCell ref="A5:G5"/>
    <mergeCell ref="H5:N5"/>
    <mergeCell ref="A3:N3"/>
    <mergeCell ref="A2:N2"/>
    <mergeCell ref="A9:F9"/>
    <mergeCell ref="A29:F29"/>
    <mergeCell ref="A30:F30"/>
    <mergeCell ref="A6:F6"/>
    <mergeCell ref="A7:F7"/>
    <mergeCell ref="A8:F8"/>
    <mergeCell ref="A21:F21"/>
    <mergeCell ref="A22:F22"/>
    <mergeCell ref="A23:F23"/>
    <mergeCell ref="A17:F17"/>
  </mergeCells>
  <printOptions horizontalCentered="1"/>
  <pageMargins left="0.1968503937007874" right="0.11811023622047245" top="0.13" bottom="0" header="0" footer="0"/>
  <pageSetup fitToHeight="0" fitToWidth="0" horizontalDpi="600" verticalDpi="600" orientation="landscape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5">
    <tabColor indexed="42"/>
  </sheetPr>
  <dimension ref="A1:P76"/>
  <sheetViews>
    <sheetView workbookViewId="0" topLeftCell="A1">
      <pane ySplit="8" topLeftCell="BM18" activePane="bottomLeft" state="frozen"/>
      <selection pane="topLeft" activeCell="A1" sqref="A1"/>
      <selection pane="bottomLeft" activeCell="B7" sqref="B7:C7"/>
    </sheetView>
  </sheetViews>
  <sheetFormatPr defaultColWidth="9.140625" defaultRowHeight="12.75"/>
  <cols>
    <col min="1" max="1" width="49.140625" style="39" bestFit="1" customWidth="1"/>
    <col min="2" max="5" width="18.00390625" style="39" customWidth="1"/>
    <col min="6" max="6" width="22.140625" style="39" bestFit="1" customWidth="1"/>
    <col min="7" max="7" width="24.00390625" style="39" bestFit="1" customWidth="1"/>
    <col min="8" max="8" width="9.140625" style="39" customWidth="1"/>
    <col min="9" max="9" width="14.28125" style="39" bestFit="1" customWidth="1"/>
    <col min="10" max="16384" width="9.140625" style="39" customWidth="1"/>
  </cols>
  <sheetData>
    <row r="1" spans="1:4" ht="15">
      <c r="A1" s="217">
        <f>'[1]B.F. 05'!A5:K5</f>
        <v>41699</v>
      </c>
      <c r="D1" s="40"/>
    </row>
    <row r="2" spans="1:7" ht="15">
      <c r="A2" s="203" t="s">
        <v>0</v>
      </c>
      <c r="B2" s="203"/>
      <c r="C2" s="203"/>
      <c r="D2" s="203"/>
      <c r="E2" s="203"/>
      <c r="F2" s="203"/>
      <c r="G2" s="203"/>
    </row>
    <row r="3" spans="1:7" ht="15">
      <c r="A3" s="203" t="s">
        <v>63</v>
      </c>
      <c r="B3" s="203"/>
      <c r="C3" s="203"/>
      <c r="D3" s="203"/>
      <c r="E3" s="203"/>
      <c r="F3" s="203"/>
      <c r="G3" s="203"/>
    </row>
    <row r="4" spans="1:7" ht="15">
      <c r="A4" s="203" t="s">
        <v>64</v>
      </c>
      <c r="B4" s="203"/>
      <c r="C4" s="203"/>
      <c r="D4" s="203"/>
      <c r="E4" s="203"/>
      <c r="F4" s="203"/>
      <c r="G4" s="203"/>
    </row>
    <row r="5" spans="1:7" ht="15">
      <c r="A5" s="203" t="s">
        <v>65</v>
      </c>
      <c r="B5" s="203"/>
      <c r="C5" s="203"/>
      <c r="D5" s="203"/>
      <c r="E5" s="203"/>
      <c r="F5" s="203"/>
      <c r="G5" s="203"/>
    </row>
    <row r="6" spans="1:5" ht="15.75" thickBot="1">
      <c r="A6" s="41"/>
      <c r="B6" s="41"/>
      <c r="C6" s="41"/>
      <c r="D6" s="41"/>
      <c r="E6" s="41"/>
    </row>
    <row r="7" spans="1:7" ht="15.75" thickBot="1">
      <c r="A7" s="42" t="s">
        <v>66</v>
      </c>
      <c r="B7" s="189" t="s">
        <v>67</v>
      </c>
      <c r="C7" s="189"/>
      <c r="D7" s="189" t="s">
        <v>68</v>
      </c>
      <c r="E7" s="189"/>
      <c r="F7" s="43" t="s">
        <v>69</v>
      </c>
      <c r="G7" s="44" t="s">
        <v>70</v>
      </c>
    </row>
    <row r="8" spans="1:7" ht="15">
      <c r="A8" s="45" t="s">
        <v>71</v>
      </c>
      <c r="B8" s="190">
        <f>SUM(B9:B16)</f>
        <v>82154339</v>
      </c>
      <c r="C8" s="190"/>
      <c r="D8" s="190">
        <f>SUM(D9:D16)</f>
        <v>82154339</v>
      </c>
      <c r="E8" s="190"/>
      <c r="F8" s="46">
        <f>SUM(F9:F16)</f>
        <v>9394771.71</v>
      </c>
      <c r="G8" s="49">
        <f aca="true" t="shared" si="0" ref="G8:G22">F8-D8</f>
        <v>-72759567.28999999</v>
      </c>
    </row>
    <row r="9" spans="1:7" ht="15">
      <c r="A9" s="50" t="s">
        <v>72</v>
      </c>
      <c r="B9" s="185"/>
      <c r="C9" s="186"/>
      <c r="D9" s="185"/>
      <c r="E9" s="186"/>
      <c r="F9" s="51"/>
      <c r="G9" s="52">
        <f t="shared" si="0"/>
        <v>0</v>
      </c>
    </row>
    <row r="10" spans="1:7" ht="15">
      <c r="A10" s="50" t="s">
        <v>73</v>
      </c>
      <c r="B10" s="187"/>
      <c r="C10" s="188"/>
      <c r="D10" s="185"/>
      <c r="E10" s="186"/>
      <c r="F10" s="51"/>
      <c r="G10" s="52">
        <f t="shared" si="0"/>
        <v>0</v>
      </c>
    </row>
    <row r="11" spans="1:7" ht="15">
      <c r="A11" s="53" t="s">
        <v>74</v>
      </c>
      <c r="B11" s="187">
        <f>HLOOKUP($A$1,'[1]DADOS'!1:156,4,0)</f>
        <v>12154339</v>
      </c>
      <c r="C11" s="188"/>
      <c r="D11" s="185">
        <f>$B$11</f>
        <v>12154339</v>
      </c>
      <c r="E11" s="186"/>
      <c r="F11" s="54">
        <f>HLOOKUP($A$1,'[1]DADOS'!1:156,8,0)</f>
        <v>1893854.34</v>
      </c>
      <c r="G11" s="52">
        <f t="shared" si="0"/>
        <v>-10260484.66</v>
      </c>
    </row>
    <row r="12" spans="1:7" ht="15">
      <c r="A12" s="50" t="s">
        <v>75</v>
      </c>
      <c r="B12" s="187"/>
      <c r="C12" s="188"/>
      <c r="D12" s="185">
        <f>B12</f>
        <v>0</v>
      </c>
      <c r="E12" s="186"/>
      <c r="F12" s="51"/>
      <c r="G12" s="52">
        <f t="shared" si="0"/>
        <v>0</v>
      </c>
    </row>
    <row r="13" spans="1:7" ht="15">
      <c r="A13" s="53" t="s">
        <v>76</v>
      </c>
      <c r="B13" s="185"/>
      <c r="C13" s="186"/>
      <c r="D13" s="185">
        <f>B13</f>
        <v>0</v>
      </c>
      <c r="E13" s="186"/>
      <c r="F13" s="51"/>
      <c r="G13" s="52">
        <f t="shared" si="0"/>
        <v>0</v>
      </c>
    </row>
    <row r="14" spans="1:7" ht="15">
      <c r="A14" s="50" t="s">
        <v>77</v>
      </c>
      <c r="B14" s="185"/>
      <c r="C14" s="186"/>
      <c r="D14" s="185">
        <f>B14</f>
        <v>0</v>
      </c>
      <c r="E14" s="186"/>
      <c r="F14" s="51"/>
      <c r="G14" s="52">
        <f t="shared" si="0"/>
        <v>0</v>
      </c>
    </row>
    <row r="15" spans="1:7" ht="15">
      <c r="A15" s="50" t="s">
        <v>78</v>
      </c>
      <c r="B15" s="185"/>
      <c r="C15" s="186"/>
      <c r="D15" s="185">
        <f>B15</f>
        <v>0</v>
      </c>
      <c r="E15" s="186"/>
      <c r="F15" s="51"/>
      <c r="G15" s="52">
        <f t="shared" si="0"/>
        <v>0</v>
      </c>
    </row>
    <row r="16" spans="1:7" ht="15">
      <c r="A16" s="50" t="s">
        <v>79</v>
      </c>
      <c r="B16" s="187">
        <f>HLOOKUP($A$1,'[1]DADOS'!1:156,12,0)</f>
        <v>70000000</v>
      </c>
      <c r="C16" s="188"/>
      <c r="D16" s="185">
        <f>$B$16</f>
        <v>70000000</v>
      </c>
      <c r="E16" s="186"/>
      <c r="F16" s="54">
        <f>HLOOKUP($A$1,'[1]DADOS'!1:156,16,0)+HLOOKUP($A$1,'[1]DADOS'!1:156,26,0)+HLOOKUP($A$1,'[1]DADOS'!1:156,34,0)</f>
        <v>7500917.37</v>
      </c>
      <c r="G16" s="52">
        <f t="shared" si="0"/>
        <v>-62499082.63</v>
      </c>
    </row>
    <row r="17" spans="1:7" ht="15">
      <c r="A17" s="55" t="s">
        <v>80</v>
      </c>
      <c r="B17" s="196">
        <f>SUM(B18:B22)</f>
        <v>0</v>
      </c>
      <c r="C17" s="196"/>
      <c r="D17" s="196">
        <f>SUM(D18:D22)</f>
        <v>0</v>
      </c>
      <c r="E17" s="196"/>
      <c r="F17" s="56">
        <f>SUM(F18:F22)</f>
        <v>0</v>
      </c>
      <c r="G17" s="57">
        <f t="shared" si="0"/>
        <v>0</v>
      </c>
    </row>
    <row r="18" spans="1:7" ht="15">
      <c r="A18" s="50" t="s">
        <v>81</v>
      </c>
      <c r="B18" s="185"/>
      <c r="C18" s="186"/>
      <c r="D18" s="185"/>
      <c r="E18" s="186"/>
      <c r="F18" s="58"/>
      <c r="G18" s="52">
        <f t="shared" si="0"/>
        <v>0</v>
      </c>
    </row>
    <row r="19" spans="1:7" ht="15">
      <c r="A19" s="53" t="s">
        <v>82</v>
      </c>
      <c r="B19" s="185"/>
      <c r="C19" s="186"/>
      <c r="D19" s="185"/>
      <c r="E19" s="186"/>
      <c r="F19" s="58"/>
      <c r="G19" s="52">
        <f t="shared" si="0"/>
        <v>0</v>
      </c>
    </row>
    <row r="20" spans="1:7" ht="15">
      <c r="A20" s="50" t="s">
        <v>83</v>
      </c>
      <c r="B20" s="185"/>
      <c r="C20" s="186"/>
      <c r="D20" s="185"/>
      <c r="E20" s="186"/>
      <c r="F20" s="58"/>
      <c r="G20" s="52">
        <f t="shared" si="0"/>
        <v>0</v>
      </c>
    </row>
    <row r="21" spans="1:7" ht="15">
      <c r="A21" s="53" t="s">
        <v>84</v>
      </c>
      <c r="B21" s="185"/>
      <c r="C21" s="186"/>
      <c r="D21" s="185"/>
      <c r="E21" s="186"/>
      <c r="F21" s="58"/>
      <c r="G21" s="52">
        <f t="shared" si="0"/>
        <v>0</v>
      </c>
    </row>
    <row r="22" spans="1:7" ht="15">
      <c r="A22" s="53" t="s">
        <v>85</v>
      </c>
      <c r="B22" s="185"/>
      <c r="C22" s="186"/>
      <c r="D22" s="185"/>
      <c r="E22" s="186"/>
      <c r="F22" s="58"/>
      <c r="G22" s="52">
        <f t="shared" si="0"/>
        <v>0</v>
      </c>
    </row>
    <row r="23" spans="1:7" ht="15.75" thickBot="1">
      <c r="A23" s="59" t="s">
        <v>86</v>
      </c>
      <c r="B23" s="191"/>
      <c r="C23" s="191"/>
      <c r="D23" s="191"/>
      <c r="E23" s="191"/>
      <c r="F23" s="60"/>
      <c r="G23" s="61"/>
    </row>
    <row r="24" spans="1:7" s="64" customFormat="1" ht="15.75" thickBot="1">
      <c r="A24" s="42" t="s">
        <v>87</v>
      </c>
      <c r="B24" s="194">
        <f>B8+B17+B23</f>
        <v>82154339</v>
      </c>
      <c r="C24" s="194"/>
      <c r="D24" s="194">
        <f>D8+D17+D23</f>
        <v>82154339</v>
      </c>
      <c r="E24" s="194"/>
      <c r="F24" s="62">
        <f>F8+F17+F23</f>
        <v>9394771.71</v>
      </c>
      <c r="G24" s="63">
        <f>F24-D24</f>
        <v>-72759567.28999999</v>
      </c>
    </row>
    <row r="25" spans="1:7" ht="15">
      <c r="A25" s="45" t="s">
        <v>88</v>
      </c>
      <c r="B25" s="195">
        <f>SUM(B26:B31)</f>
        <v>0</v>
      </c>
      <c r="C25" s="195"/>
      <c r="D25" s="195">
        <f>SUM(D26:D31)</f>
        <v>0</v>
      </c>
      <c r="E25" s="195"/>
      <c r="F25" s="65">
        <f>SUM(F26:F31)</f>
        <v>0</v>
      </c>
      <c r="G25" s="66">
        <f>F25-D25</f>
        <v>0</v>
      </c>
    </row>
    <row r="26" spans="1:7" ht="15">
      <c r="A26" s="50" t="s">
        <v>89</v>
      </c>
      <c r="B26" s="192"/>
      <c r="C26" s="193"/>
      <c r="D26" s="185"/>
      <c r="E26" s="186"/>
      <c r="F26" s="58"/>
      <c r="G26" s="67"/>
    </row>
    <row r="27" spans="1:7" ht="15">
      <c r="A27" s="53" t="s">
        <v>90</v>
      </c>
      <c r="B27" s="185"/>
      <c r="C27" s="186"/>
      <c r="D27" s="185"/>
      <c r="E27" s="186"/>
      <c r="F27" s="58"/>
      <c r="G27" s="67"/>
    </row>
    <row r="28" spans="1:7" ht="15">
      <c r="A28" s="53" t="s">
        <v>91</v>
      </c>
      <c r="B28" s="185"/>
      <c r="C28" s="186"/>
      <c r="D28" s="185"/>
      <c r="E28" s="186"/>
      <c r="F28" s="58"/>
      <c r="G28" s="67"/>
    </row>
    <row r="29" spans="1:7" ht="15">
      <c r="A29" s="50" t="s">
        <v>92</v>
      </c>
      <c r="B29" s="185"/>
      <c r="C29" s="186"/>
      <c r="D29" s="185"/>
      <c r="E29" s="186"/>
      <c r="F29" s="58"/>
      <c r="G29" s="67"/>
    </row>
    <row r="30" spans="1:7" ht="15">
      <c r="A30" s="53" t="s">
        <v>90</v>
      </c>
      <c r="B30" s="185"/>
      <c r="C30" s="186"/>
      <c r="D30" s="185"/>
      <c r="E30" s="186"/>
      <c r="F30" s="58"/>
      <c r="G30" s="67"/>
    </row>
    <row r="31" spans="1:7" ht="15">
      <c r="A31" s="53" t="s">
        <v>91</v>
      </c>
      <c r="B31" s="185"/>
      <c r="C31" s="186"/>
      <c r="D31" s="185"/>
      <c r="E31" s="186"/>
      <c r="F31" s="58"/>
      <c r="G31" s="67"/>
    </row>
    <row r="32" spans="1:7" ht="15">
      <c r="A32" s="55" t="s">
        <v>93</v>
      </c>
      <c r="B32" s="200">
        <f>B25+B24</f>
        <v>82154339</v>
      </c>
      <c r="C32" s="200"/>
      <c r="D32" s="200">
        <f>D25+D24</f>
        <v>82154339</v>
      </c>
      <c r="E32" s="200"/>
      <c r="F32" s="68">
        <f>F25+F24</f>
        <v>9394771.71</v>
      </c>
      <c r="G32" s="69">
        <f>F32-D32</f>
        <v>-72759567.28999999</v>
      </c>
    </row>
    <row r="33" spans="1:7" ht="15.75" thickBot="1">
      <c r="A33" s="59" t="s">
        <v>94</v>
      </c>
      <c r="B33" s="199">
        <f>IF(B32&gt;B59,0,B59-B32)</f>
        <v>5195500</v>
      </c>
      <c r="C33" s="199"/>
      <c r="D33" s="199">
        <f>IF(D32&gt;C59,0,C59-D32)</f>
        <v>5195500</v>
      </c>
      <c r="E33" s="199"/>
      <c r="F33" s="70">
        <f>IF(F32&gt;D59,0,D59-F32)</f>
        <v>15811729.479999997</v>
      </c>
      <c r="G33" s="71">
        <f>IF(G32&gt;E59,0,E59-G32)</f>
        <v>78125372.52</v>
      </c>
    </row>
    <row r="34" spans="1:7" s="64" customFormat="1" ht="15.75" thickBot="1">
      <c r="A34" s="42" t="s">
        <v>95</v>
      </c>
      <c r="B34" s="194">
        <f>B32+B33</f>
        <v>87349839</v>
      </c>
      <c r="C34" s="194"/>
      <c r="D34" s="194">
        <f>D32+D33</f>
        <v>87349839</v>
      </c>
      <c r="E34" s="194"/>
      <c r="F34" s="62">
        <f>F32+F33</f>
        <v>25206501.189999998</v>
      </c>
      <c r="G34" s="63">
        <f>F34-D34</f>
        <v>-62143337.81</v>
      </c>
    </row>
    <row r="35" spans="1:7" ht="15">
      <c r="A35" s="72" t="s">
        <v>96</v>
      </c>
      <c r="B35" s="197">
        <f>SUM(B36:C37)</f>
        <v>0</v>
      </c>
      <c r="C35" s="198"/>
      <c r="D35" s="197">
        <f>SUM(D36:E37)</f>
        <v>0</v>
      </c>
      <c r="E35" s="198"/>
      <c r="F35" s="73">
        <f>SUM(F36:F37)</f>
        <v>0</v>
      </c>
      <c r="G35" s="74">
        <f>SUM(G36:G37)</f>
        <v>0</v>
      </c>
    </row>
    <row r="36" spans="1:7" ht="15">
      <c r="A36" s="75" t="s">
        <v>97</v>
      </c>
      <c r="B36" s="201"/>
      <c r="C36" s="201"/>
      <c r="D36" s="201"/>
      <c r="E36" s="201"/>
      <c r="F36" s="76"/>
      <c r="G36" s="77"/>
    </row>
    <row r="37" spans="1:7" ht="15.75" thickBot="1">
      <c r="A37" s="78" t="s">
        <v>98</v>
      </c>
      <c r="B37" s="202"/>
      <c r="C37" s="202"/>
      <c r="D37" s="202"/>
      <c r="E37" s="202"/>
      <c r="F37" s="79"/>
      <c r="G37" s="80"/>
    </row>
    <row r="38" spans="1:5" ht="15">
      <c r="A38" s="81"/>
      <c r="B38" s="82"/>
      <c r="C38" s="82"/>
      <c r="D38" s="82"/>
      <c r="E38" s="82"/>
    </row>
    <row r="39" ht="15.75" thickBot="1"/>
    <row r="40" spans="1:7" s="86" customFormat="1" ht="30.75" thickBot="1">
      <c r="A40" s="83" t="s">
        <v>99</v>
      </c>
      <c r="B40" s="84" t="s">
        <v>100</v>
      </c>
      <c r="C40" s="84" t="s">
        <v>101</v>
      </c>
      <c r="D40" s="84" t="s">
        <v>102</v>
      </c>
      <c r="E40" s="84" t="s">
        <v>103</v>
      </c>
      <c r="F40" s="84" t="s">
        <v>104</v>
      </c>
      <c r="G40" s="85" t="s">
        <v>105</v>
      </c>
    </row>
    <row r="41" spans="1:7" ht="15">
      <c r="A41" s="87" t="s">
        <v>106</v>
      </c>
      <c r="B41" s="88">
        <f>SUM(B42:B44)</f>
        <v>77313339</v>
      </c>
      <c r="C41" s="88">
        <f>SUM(C42:C44)</f>
        <v>77313339</v>
      </c>
      <c r="D41" s="88">
        <f>SUM(D42:D44)</f>
        <v>24535932.99</v>
      </c>
      <c r="E41" s="88">
        <f>SUM(E42:E44)</f>
        <v>4889897.53</v>
      </c>
      <c r="F41" s="88">
        <f>SUM(F42:F44)</f>
        <v>4735924.76</v>
      </c>
      <c r="G41" s="89">
        <f>C41-D41</f>
        <v>52777406.010000005</v>
      </c>
    </row>
    <row r="42" spans="1:7" ht="15">
      <c r="A42" s="53" t="s">
        <v>107</v>
      </c>
      <c r="B42" s="90"/>
      <c r="C42" s="90"/>
      <c r="D42" s="90"/>
      <c r="E42" s="90"/>
      <c r="F42" s="90"/>
      <c r="G42" s="91"/>
    </row>
    <row r="43" spans="1:7" ht="15">
      <c r="A43" s="50" t="s">
        <v>108</v>
      </c>
      <c r="B43" s="90"/>
      <c r="C43" s="90"/>
      <c r="D43" s="90"/>
      <c r="E43" s="90"/>
      <c r="F43" s="90"/>
      <c r="G43" s="91"/>
    </row>
    <row r="44" spans="1:9" ht="15">
      <c r="A44" s="50" t="s">
        <v>109</v>
      </c>
      <c r="B44" s="92">
        <f>HLOOKUP($A$1,'[1]DADOS'!1:156,82,0)</f>
        <v>77313339</v>
      </c>
      <c r="C44" s="93">
        <f>HLOOKUP($A$1,'[1]DADOS'!1:156,83,0)</f>
        <v>77313339</v>
      </c>
      <c r="D44" s="92">
        <f>HLOOKUP($A$1,'[1]DADOS'!1:156,84,0)</f>
        <v>24535932.99</v>
      </c>
      <c r="E44" s="92">
        <f>HLOOKUP($A$1,'[1]DADOS'!1:156,85,0)</f>
        <v>4889897.53</v>
      </c>
      <c r="F44" s="92">
        <f>HLOOKUP($A$1,'[1]DADOS'!1:156,86,0)</f>
        <v>4735924.76</v>
      </c>
      <c r="G44" s="94">
        <f>C44-D44</f>
        <v>52777406.010000005</v>
      </c>
      <c r="I44" s="95"/>
    </row>
    <row r="45" spans="1:7" ht="15">
      <c r="A45" s="55" t="s">
        <v>110</v>
      </c>
      <c r="B45" s="96">
        <f>SUM(B46:B48)</f>
        <v>10036500</v>
      </c>
      <c r="C45" s="96">
        <f>SUM(C46:C48)</f>
        <v>10036500</v>
      </c>
      <c r="D45" s="96">
        <f>SUM(D46:D48)</f>
        <v>670568.2</v>
      </c>
      <c r="E45" s="96">
        <f>SUM(E46:E48)</f>
        <v>475907.7</v>
      </c>
      <c r="F45" s="96">
        <f>SUM(F46:F48)</f>
        <v>475907.7</v>
      </c>
      <c r="G45" s="97">
        <f>C45-D45</f>
        <v>9365931.8</v>
      </c>
    </row>
    <row r="46" spans="1:9" ht="15">
      <c r="A46" s="50" t="s">
        <v>111</v>
      </c>
      <c r="B46" s="92">
        <f>HLOOKUP($A$1,'[1]DADOS'!1:156,88,0)</f>
        <v>10036500</v>
      </c>
      <c r="C46" s="98">
        <f>HLOOKUP($A$1,'[1]DADOS'!1:156,89,0)</f>
        <v>10036500</v>
      </c>
      <c r="D46" s="92">
        <f>HLOOKUP($A$1,'[1]DADOS'!1:156,90,0)</f>
        <v>670568.2</v>
      </c>
      <c r="E46" s="92">
        <f>HLOOKUP($A$1,'[1]DADOS'!1:156,91,0)</f>
        <v>475907.7</v>
      </c>
      <c r="F46" s="92">
        <f>HLOOKUP($A$1,'[1]DADOS'!1:156,92,0)</f>
        <v>475907.7</v>
      </c>
      <c r="G46" s="94">
        <f>C46-D46</f>
        <v>9365931.8</v>
      </c>
      <c r="I46" s="95"/>
    </row>
    <row r="47" spans="1:7" ht="15">
      <c r="A47" s="50" t="s">
        <v>112</v>
      </c>
      <c r="B47" s="90"/>
      <c r="C47" s="90"/>
      <c r="D47" s="90"/>
      <c r="E47" s="90"/>
      <c r="F47" s="90"/>
      <c r="G47" s="91"/>
    </row>
    <row r="48" spans="1:7" ht="15">
      <c r="A48" s="50" t="s">
        <v>113</v>
      </c>
      <c r="B48" s="90"/>
      <c r="C48" s="90"/>
      <c r="D48" s="90"/>
      <c r="E48" s="90"/>
      <c r="F48" s="90"/>
      <c r="G48" s="91"/>
    </row>
    <row r="49" spans="1:7" ht="15">
      <c r="A49" s="99" t="s">
        <v>114</v>
      </c>
      <c r="B49" s="100"/>
      <c r="C49" s="100"/>
      <c r="D49" s="100"/>
      <c r="E49" s="100"/>
      <c r="F49" s="100"/>
      <c r="G49" s="101"/>
    </row>
    <row r="50" spans="1:7" ht="15.75" thickBot="1">
      <c r="A50" s="99" t="s">
        <v>115</v>
      </c>
      <c r="B50" s="100"/>
      <c r="C50" s="100"/>
      <c r="D50" s="100"/>
      <c r="E50" s="100"/>
      <c r="F50" s="100"/>
      <c r="G50" s="101"/>
    </row>
    <row r="51" spans="1:7" ht="15.75" thickBot="1">
      <c r="A51" s="42" t="s">
        <v>116</v>
      </c>
      <c r="B51" s="102">
        <f>B41+B45+B49+B50</f>
        <v>87349839</v>
      </c>
      <c r="C51" s="102">
        <f>C41+C45+C49+C50</f>
        <v>87349839</v>
      </c>
      <c r="D51" s="102">
        <f>D41+D45+D49+D50</f>
        <v>25206501.189999998</v>
      </c>
      <c r="E51" s="102">
        <f>E41+E45+E49+E50</f>
        <v>5365805.23</v>
      </c>
      <c r="F51" s="102">
        <f>F41+F45+F49+F50</f>
        <v>5211832.46</v>
      </c>
      <c r="G51" s="103">
        <f>C51-D51</f>
        <v>62143337.81</v>
      </c>
    </row>
    <row r="52" spans="1:7" ht="15">
      <c r="A52" s="45" t="s">
        <v>117</v>
      </c>
      <c r="B52" s="73">
        <f>SUM(B53:B58)</f>
        <v>0</v>
      </c>
      <c r="C52" s="73">
        <f>SUM(C53:C58)</f>
        <v>0</v>
      </c>
      <c r="D52" s="73">
        <f>SUM(D53:D58)</f>
        <v>0</v>
      </c>
      <c r="E52" s="73">
        <f>SUM(E53:E58)</f>
        <v>0</v>
      </c>
      <c r="F52" s="73">
        <f>SUM(F53:F58)</f>
        <v>0</v>
      </c>
      <c r="G52" s="74">
        <f>(C52-D52)</f>
        <v>0</v>
      </c>
    </row>
    <row r="53" spans="1:7" ht="15">
      <c r="A53" s="50" t="s">
        <v>118</v>
      </c>
      <c r="B53" s="90"/>
      <c r="C53" s="90"/>
      <c r="D53" s="90"/>
      <c r="E53" s="90"/>
      <c r="F53" s="90"/>
      <c r="G53" s="91"/>
    </row>
    <row r="54" spans="1:7" ht="15">
      <c r="A54" s="53" t="s">
        <v>119</v>
      </c>
      <c r="B54" s="90"/>
      <c r="C54" s="90"/>
      <c r="D54" s="90"/>
      <c r="E54" s="90"/>
      <c r="F54" s="90"/>
      <c r="G54" s="91"/>
    </row>
    <row r="55" spans="1:7" ht="15">
      <c r="A55" s="50" t="s">
        <v>120</v>
      </c>
      <c r="B55" s="90"/>
      <c r="C55" s="90"/>
      <c r="D55" s="90"/>
      <c r="E55" s="90"/>
      <c r="F55" s="90"/>
      <c r="G55" s="91"/>
    </row>
    <row r="56" spans="1:7" ht="15">
      <c r="A56" s="50" t="s">
        <v>121</v>
      </c>
      <c r="B56" s="90"/>
      <c r="C56" s="90"/>
      <c r="D56" s="90"/>
      <c r="E56" s="90"/>
      <c r="F56" s="90"/>
      <c r="G56" s="91"/>
    </row>
    <row r="57" spans="1:7" ht="15">
      <c r="A57" s="53" t="s">
        <v>122</v>
      </c>
      <c r="B57" s="90"/>
      <c r="C57" s="90"/>
      <c r="D57" s="90"/>
      <c r="E57" s="90"/>
      <c r="F57" s="90"/>
      <c r="G57" s="91"/>
    </row>
    <row r="58" spans="1:7" ht="15">
      <c r="A58" s="50" t="s">
        <v>120</v>
      </c>
      <c r="B58" s="90"/>
      <c r="C58" s="90"/>
      <c r="D58" s="90"/>
      <c r="E58" s="90"/>
      <c r="F58" s="90"/>
      <c r="G58" s="91"/>
    </row>
    <row r="59" spans="1:7" ht="15">
      <c r="A59" s="55" t="s">
        <v>123</v>
      </c>
      <c r="B59" s="104">
        <f>(B51+B52)</f>
        <v>87349839</v>
      </c>
      <c r="C59" s="104">
        <f>(C51+C52)</f>
        <v>87349839</v>
      </c>
      <c r="D59" s="104">
        <f>(D51+D52)</f>
        <v>25206501.189999998</v>
      </c>
      <c r="E59" s="104">
        <f>(E51+E52)</f>
        <v>5365805.23</v>
      </c>
      <c r="F59" s="104">
        <f>(F51+F52)</f>
        <v>5211832.46</v>
      </c>
      <c r="G59" s="105">
        <f>(C59-D59)</f>
        <v>62143337.81</v>
      </c>
    </row>
    <row r="60" spans="1:7" ht="15">
      <c r="A60" s="55" t="s">
        <v>124</v>
      </c>
      <c r="B60" s="96">
        <f>IF(B32&gt;B59,B32-B59,0)</f>
        <v>0</v>
      </c>
      <c r="C60" s="96">
        <f>IF(D32&gt;C59,D32-C59,0)</f>
        <v>0</v>
      </c>
      <c r="D60" s="96">
        <f>IF(F32&gt;D59,F32-D59,0)</f>
        <v>0</v>
      </c>
      <c r="E60" s="96">
        <f>IF(E32&gt;E59,E32-E59,0)</f>
        <v>0</v>
      </c>
      <c r="F60" s="96"/>
      <c r="G60" s="105">
        <f>IF(G32&gt;G59,G32-G59,0)</f>
        <v>0</v>
      </c>
    </row>
    <row r="61" spans="1:7" ht="15.75" thickBot="1">
      <c r="A61" s="106" t="s">
        <v>125</v>
      </c>
      <c r="B61" s="107">
        <f>B59+B60</f>
        <v>87349839</v>
      </c>
      <c r="C61" s="107">
        <f>C59+C60</f>
        <v>87349839</v>
      </c>
      <c r="D61" s="107">
        <f>D59+D60</f>
        <v>25206501.189999998</v>
      </c>
      <c r="E61" s="107">
        <f>E59+E60</f>
        <v>5365805.23</v>
      </c>
      <c r="F61" s="107">
        <f>F59+F60</f>
        <v>5211832.46</v>
      </c>
      <c r="G61" s="108">
        <f>(C61-D61)</f>
        <v>62143337.81</v>
      </c>
    </row>
    <row r="62" spans="1:14" s="24" customFormat="1" ht="13.5" customHeight="1">
      <c r="A62" s="20" t="s">
        <v>126</v>
      </c>
      <c r="B62" s="21"/>
      <c r="C62" s="21"/>
      <c r="D62" s="21"/>
      <c r="E62" s="22"/>
      <c r="F62" s="22"/>
      <c r="G62" s="22"/>
      <c r="H62" s="21"/>
      <c r="I62" s="21"/>
      <c r="J62" s="21"/>
      <c r="K62" s="22"/>
      <c r="L62" s="22"/>
      <c r="M62" s="22"/>
      <c r="N62" s="23"/>
    </row>
    <row r="63" spans="1:16" s="24" customFormat="1" ht="9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109"/>
      <c r="P63" s="27"/>
    </row>
    <row r="64" spans="1:14" s="24" customFormat="1" ht="9">
      <c r="A64" s="20" t="s">
        <v>48</v>
      </c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6"/>
    </row>
    <row r="65" spans="1:14" s="24" customFormat="1" ht="9">
      <c r="A65" s="172" t="s">
        <v>49</v>
      </c>
      <c r="B65" s="172"/>
      <c r="C65" s="172"/>
      <c r="D65" s="172"/>
      <c r="E65" s="172"/>
      <c r="F65" s="172"/>
      <c r="G65" s="172"/>
      <c r="H65" s="172"/>
      <c r="I65" s="172"/>
      <c r="J65" s="172"/>
      <c r="K65" s="172"/>
      <c r="L65" s="172"/>
      <c r="M65" s="172"/>
      <c r="N65" s="172"/>
    </row>
    <row r="66" spans="1:14" s="24" customFormat="1" ht="9">
      <c r="A66" s="172" t="s">
        <v>50</v>
      </c>
      <c r="B66" s="172"/>
      <c r="C66" s="172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2"/>
    </row>
    <row r="67" s="1" customFormat="1" ht="11.25">
      <c r="I67" s="30"/>
    </row>
    <row r="68" s="1" customFormat="1" ht="11.25">
      <c r="I68" s="30"/>
    </row>
    <row r="69" s="1" customFormat="1" ht="11.25">
      <c r="I69" s="30"/>
    </row>
    <row r="70" s="1" customFormat="1" ht="11.25">
      <c r="I70" s="30"/>
    </row>
    <row r="71" spans="1:14" s="1" customFormat="1" ht="11.25">
      <c r="A71" s="110"/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30"/>
    </row>
    <row r="72" s="1" customFormat="1" ht="11.25">
      <c r="I72" s="30"/>
    </row>
    <row r="73" spans="1:7" s="19" customFormat="1" ht="13.5" customHeight="1">
      <c r="A73" s="31" t="s">
        <v>53</v>
      </c>
      <c r="B73" s="181"/>
      <c r="C73" s="181"/>
      <c r="D73" s="181"/>
      <c r="E73" s="173" t="s">
        <v>54</v>
      </c>
      <c r="F73" s="173"/>
      <c r="G73" s="173"/>
    </row>
    <row r="74" spans="1:8" s="1" customFormat="1" ht="13.5" customHeight="1">
      <c r="A74" s="33" t="s">
        <v>55</v>
      </c>
      <c r="B74" s="176"/>
      <c r="C74" s="176"/>
      <c r="D74" s="176"/>
      <c r="E74" s="182" t="s">
        <v>127</v>
      </c>
      <c r="F74" s="182"/>
      <c r="G74" s="182"/>
      <c r="H74" s="112"/>
    </row>
    <row r="75" spans="1:8" s="1" customFormat="1" ht="13.5" customHeight="1">
      <c r="A75" s="35" t="s">
        <v>57</v>
      </c>
      <c r="B75" s="171"/>
      <c r="C75" s="171"/>
      <c r="D75" s="171"/>
      <c r="E75" s="171" t="s">
        <v>58</v>
      </c>
      <c r="F75" s="171"/>
      <c r="G75" s="171"/>
      <c r="H75" s="113"/>
    </row>
    <row r="76" spans="1:8" s="1" customFormat="1" ht="13.5" customHeight="1">
      <c r="A76" s="37" t="s">
        <v>59</v>
      </c>
      <c r="B76" s="171"/>
      <c r="C76" s="171"/>
      <c r="D76" s="171"/>
      <c r="E76" s="171" t="s">
        <v>59</v>
      </c>
      <c r="F76" s="171"/>
      <c r="G76" s="171"/>
      <c r="H76" s="113"/>
    </row>
  </sheetData>
  <sheetProtection/>
  <mergeCells count="76">
    <mergeCell ref="B76:D76"/>
    <mergeCell ref="E73:G73"/>
    <mergeCell ref="D33:E33"/>
    <mergeCell ref="D34:E34"/>
    <mergeCell ref="E74:G74"/>
    <mergeCell ref="E75:G75"/>
    <mergeCell ref="E76:G76"/>
    <mergeCell ref="A65:N65"/>
    <mergeCell ref="A66:N66"/>
    <mergeCell ref="B74:D74"/>
    <mergeCell ref="B73:D73"/>
    <mergeCell ref="B75:D75"/>
    <mergeCell ref="A2:G2"/>
    <mergeCell ref="A3:G3"/>
    <mergeCell ref="A4:G4"/>
    <mergeCell ref="A5:G5"/>
    <mergeCell ref="D31:E31"/>
    <mergeCell ref="D32:E32"/>
    <mergeCell ref="B36:C36"/>
    <mergeCell ref="B37:C37"/>
    <mergeCell ref="D36:E36"/>
    <mergeCell ref="D37:E37"/>
    <mergeCell ref="D27:E27"/>
    <mergeCell ref="D28:E28"/>
    <mergeCell ref="D29:E29"/>
    <mergeCell ref="D30:E30"/>
    <mergeCell ref="B35:C35"/>
    <mergeCell ref="D35:E35"/>
    <mergeCell ref="D23:E23"/>
    <mergeCell ref="D24:E24"/>
    <mergeCell ref="D25:E25"/>
    <mergeCell ref="D26:E26"/>
    <mergeCell ref="B33:C33"/>
    <mergeCell ref="B34:C34"/>
    <mergeCell ref="B31:C31"/>
    <mergeCell ref="B32:C32"/>
    <mergeCell ref="B21:C21"/>
    <mergeCell ref="B22:C22"/>
    <mergeCell ref="D19:E19"/>
    <mergeCell ref="D20:E20"/>
    <mergeCell ref="D21:E21"/>
    <mergeCell ref="D22:E22"/>
    <mergeCell ref="D15:E15"/>
    <mergeCell ref="D16:E16"/>
    <mergeCell ref="B19:C19"/>
    <mergeCell ref="B20:C20"/>
    <mergeCell ref="D17:E17"/>
    <mergeCell ref="D18:E18"/>
    <mergeCell ref="B17:C17"/>
    <mergeCell ref="B18:C18"/>
    <mergeCell ref="B29:C29"/>
    <mergeCell ref="B30:C30"/>
    <mergeCell ref="B23:C23"/>
    <mergeCell ref="B27:C27"/>
    <mergeCell ref="B26:C26"/>
    <mergeCell ref="B28:C28"/>
    <mergeCell ref="B24:C24"/>
    <mergeCell ref="B25:C25"/>
    <mergeCell ref="B7:C7"/>
    <mergeCell ref="B8:C8"/>
    <mergeCell ref="D13:E13"/>
    <mergeCell ref="D14:E14"/>
    <mergeCell ref="D7:E7"/>
    <mergeCell ref="D8:E8"/>
    <mergeCell ref="D11:E11"/>
    <mergeCell ref="D12:E12"/>
    <mergeCell ref="D10:E10"/>
    <mergeCell ref="D9:E9"/>
    <mergeCell ref="B9:C9"/>
    <mergeCell ref="B10:C10"/>
    <mergeCell ref="B11:C11"/>
    <mergeCell ref="B12:C12"/>
    <mergeCell ref="B13:C13"/>
    <mergeCell ref="B14:C14"/>
    <mergeCell ref="B15:C15"/>
    <mergeCell ref="B16:C16"/>
  </mergeCells>
  <printOptions/>
  <pageMargins left="0.511811024" right="0.511811024" top="1.3474015750000001" bottom="0.787401575" header="0.31496062" footer="0.31496062"/>
  <pageSetup horizontalDpi="600" verticalDpi="600" orientation="portrait" paperSize="9" scale="53" r:id="rId2"/>
  <colBreaks count="1" manualBreakCount="1">
    <brk id="7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6">
    <tabColor indexed="42"/>
  </sheetPr>
  <dimension ref="A1:P43"/>
  <sheetViews>
    <sheetView tabSelected="1" workbookViewId="0" topLeftCell="A1">
      <selection activeCell="A1" sqref="A1"/>
    </sheetView>
  </sheetViews>
  <sheetFormatPr defaultColWidth="9.140625" defaultRowHeight="12.75"/>
  <cols>
    <col min="1" max="1" width="47.57421875" style="39" bestFit="1" customWidth="1"/>
    <col min="2" max="2" width="21.421875" style="39" customWidth="1"/>
    <col min="3" max="3" width="22.8515625" style="39" customWidth="1"/>
    <col min="4" max="4" width="18.00390625" style="39" bestFit="1" customWidth="1"/>
    <col min="5" max="5" width="14.28125" style="39" customWidth="1"/>
    <col min="6" max="6" width="16.421875" style="39" bestFit="1" customWidth="1"/>
    <col min="7" max="7" width="19.140625" style="39" bestFit="1" customWidth="1"/>
    <col min="8" max="16384" width="9.140625" style="39" customWidth="1"/>
  </cols>
  <sheetData>
    <row r="1" ht="15">
      <c r="A1" s="217">
        <f>'[1]Balanço Orçamentário MCASP'!A1</f>
        <v>41699</v>
      </c>
    </row>
    <row r="2" spans="1:7" ht="15">
      <c r="A2" s="203" t="s">
        <v>0</v>
      </c>
      <c r="B2" s="203"/>
      <c r="C2" s="203"/>
      <c r="D2" s="203"/>
      <c r="E2" s="203"/>
      <c r="F2" s="203"/>
      <c r="G2" s="203"/>
    </row>
    <row r="3" spans="1:7" ht="15">
      <c r="A3" s="203" t="s">
        <v>128</v>
      </c>
      <c r="B3" s="203"/>
      <c r="C3" s="203"/>
      <c r="D3" s="203"/>
      <c r="E3" s="203"/>
      <c r="F3" s="203"/>
      <c r="G3" s="203"/>
    </row>
    <row r="4" spans="1:7" ht="15">
      <c r="A4" s="203" t="s">
        <v>65</v>
      </c>
      <c r="B4" s="203"/>
      <c r="C4" s="203"/>
      <c r="D4" s="203"/>
      <c r="E4" s="203"/>
      <c r="F4" s="203"/>
      <c r="G4" s="203"/>
    </row>
    <row r="5" spans="1:7" ht="15">
      <c r="A5" s="41"/>
      <c r="B5" s="41"/>
      <c r="C5" s="41"/>
      <c r="D5" s="41"/>
      <c r="E5" s="41"/>
      <c r="F5" s="41"/>
      <c r="G5" s="114"/>
    </row>
    <row r="6" spans="1:7" ht="15.75" thickBot="1">
      <c r="A6" s="41"/>
      <c r="B6" s="41"/>
      <c r="C6" s="41"/>
      <c r="D6" s="41"/>
      <c r="E6" s="41"/>
      <c r="F6" s="41"/>
      <c r="G6" s="41"/>
    </row>
    <row r="7" spans="1:7" ht="15.75" thickBot="1">
      <c r="A7" s="210" t="s">
        <v>129</v>
      </c>
      <c r="B7" s="213" t="s">
        <v>130</v>
      </c>
      <c r="C7" s="214"/>
      <c r="D7" s="204" t="s">
        <v>131</v>
      </c>
      <c r="E7" s="206" t="s">
        <v>132</v>
      </c>
      <c r="F7" s="204" t="s">
        <v>133</v>
      </c>
      <c r="G7" s="208" t="s">
        <v>134</v>
      </c>
    </row>
    <row r="8" spans="1:7" ht="42" customHeight="1" thickBot="1">
      <c r="A8" s="211"/>
      <c r="B8" s="115" t="s">
        <v>135</v>
      </c>
      <c r="C8" s="116" t="s">
        <v>136</v>
      </c>
      <c r="D8" s="205"/>
      <c r="E8" s="207"/>
      <c r="F8" s="205"/>
      <c r="G8" s="209"/>
    </row>
    <row r="9" spans="1:9" ht="15.75" thickBot="1">
      <c r="A9" s="121" t="s">
        <v>137</v>
      </c>
      <c r="B9" s="122">
        <f>SUM(B10:B12)</f>
        <v>0</v>
      </c>
      <c r="C9" s="123">
        <f>SUM(C10:C12)</f>
        <v>5060915.05</v>
      </c>
      <c r="D9" s="123">
        <f>SUM(D10:D12)</f>
        <v>1901550.24</v>
      </c>
      <c r="E9" s="122">
        <f>SUM(E10:E12)</f>
        <v>1901550.24</v>
      </c>
      <c r="F9" s="123">
        <f>SUM(F10:F12)</f>
        <v>786881.41</v>
      </c>
      <c r="G9" s="124">
        <f aca="true" t="shared" si="0" ref="G9:G16">B9+C9-E9-F9</f>
        <v>2372483.3999999994</v>
      </c>
      <c r="I9" s="95"/>
    </row>
    <row r="10" spans="1:7" ht="15">
      <c r="A10" s="125" t="s">
        <v>107</v>
      </c>
      <c r="B10" s="126"/>
      <c r="C10" s="127"/>
      <c r="D10" s="127"/>
      <c r="E10" s="126"/>
      <c r="F10" s="127"/>
      <c r="G10" s="128">
        <f t="shared" si="0"/>
        <v>0</v>
      </c>
    </row>
    <row r="11" spans="1:7" ht="15">
      <c r="A11" s="125" t="s">
        <v>108</v>
      </c>
      <c r="B11" s="126"/>
      <c r="C11" s="127"/>
      <c r="D11" s="129"/>
      <c r="E11" s="130"/>
      <c r="F11" s="127"/>
      <c r="G11" s="128">
        <f t="shared" si="0"/>
        <v>0</v>
      </c>
    </row>
    <row r="12" spans="1:7" ht="15.75" thickBot="1">
      <c r="A12" s="125" t="s">
        <v>109</v>
      </c>
      <c r="B12" s="131">
        <f>HLOOKUP($A$1,'[1]DADOS'!1:156,112,0)</f>
        <v>0</v>
      </c>
      <c r="C12" s="132">
        <f>HLOOKUP($A$1,'[1]DADOS'!1:156,106,0)</f>
        <v>5060915.05</v>
      </c>
      <c r="D12" s="129">
        <f>$E$12</f>
        <v>1901550.24</v>
      </c>
      <c r="E12" s="133">
        <f>HLOOKUP($A$1,'[1]DADOS'!1:156,108,0)+HLOOKUP($A$1,'[1]DADOS'!1:156,124,0)</f>
        <v>1901550.24</v>
      </c>
      <c r="F12" s="134">
        <f>HLOOKUP($A$1,'[1]DADOS'!1:156,110,0)+HLOOKUP($A$1,'[1]DADOS'!1:156,126,0)</f>
        <v>786881.41</v>
      </c>
      <c r="G12" s="128">
        <f t="shared" si="0"/>
        <v>2372483.3999999994</v>
      </c>
    </row>
    <row r="13" spans="1:7" ht="15.75" thickBot="1">
      <c r="A13" s="121" t="s">
        <v>138</v>
      </c>
      <c r="B13" s="122">
        <f>SUM(B14:B16)</f>
        <v>0</v>
      </c>
      <c r="C13" s="123">
        <f>SUM(C14:C16)</f>
        <v>171653.8</v>
      </c>
      <c r="D13" s="123">
        <f>SUM(D14:D16)</f>
        <v>0</v>
      </c>
      <c r="E13" s="122">
        <f>SUM(E14:E16)</f>
        <v>0</v>
      </c>
      <c r="F13" s="123">
        <f>SUM(F14:F16)</f>
        <v>88715</v>
      </c>
      <c r="G13" s="124">
        <f t="shared" si="0"/>
        <v>82938.79999999999</v>
      </c>
    </row>
    <row r="14" spans="1:7" ht="15">
      <c r="A14" s="125" t="s">
        <v>111</v>
      </c>
      <c r="B14" s="131">
        <f>HLOOKUP($A$1,'[1]DADOS'!1:156,129,0)</f>
        <v>0</v>
      </c>
      <c r="C14" s="132">
        <f>HLOOKUP($A$1,'[1]DADOS'!1:156,113,0)</f>
        <v>171653.8</v>
      </c>
      <c r="D14" s="127">
        <f>$E$14</f>
        <v>0</v>
      </c>
      <c r="E14" s="131">
        <f>HLOOKUP($A$1,'[1]DADOS'!1:156,115,0)+HLOOKUP($A$1,'[1]DADOS'!1:156,131,0)</f>
        <v>0</v>
      </c>
      <c r="F14" s="134">
        <f>HLOOKUP($A$1,'[1]DADOS'!1:156,117,0)+HLOOKUP($A$1,'[1]DADOS'!1:156,133,0)</f>
        <v>88715</v>
      </c>
      <c r="G14" s="128">
        <f t="shared" si="0"/>
        <v>82938.79999999999</v>
      </c>
    </row>
    <row r="15" spans="1:7" ht="15">
      <c r="A15" s="125" t="s">
        <v>112</v>
      </c>
      <c r="B15" s="126"/>
      <c r="C15" s="127"/>
      <c r="D15" s="127"/>
      <c r="E15" s="126"/>
      <c r="F15" s="127"/>
      <c r="G15" s="128">
        <f t="shared" si="0"/>
        <v>0</v>
      </c>
    </row>
    <row r="16" spans="1:7" ht="15.75" thickBot="1">
      <c r="A16" s="135" t="s">
        <v>113</v>
      </c>
      <c r="B16" s="126"/>
      <c r="C16" s="127"/>
      <c r="D16" s="127"/>
      <c r="E16" s="136"/>
      <c r="F16" s="127"/>
      <c r="G16" s="128">
        <f t="shared" si="0"/>
        <v>0</v>
      </c>
    </row>
    <row r="17" spans="1:7" s="64" customFormat="1" ht="15.75" thickBot="1">
      <c r="A17" s="42" t="s">
        <v>139</v>
      </c>
      <c r="B17" s="137">
        <f aca="true" t="shared" si="1" ref="B17:G17">B9+B13</f>
        <v>0</v>
      </c>
      <c r="C17" s="138">
        <f t="shared" si="1"/>
        <v>5232568.85</v>
      </c>
      <c r="D17" s="138">
        <f t="shared" si="1"/>
        <v>1901550.24</v>
      </c>
      <c r="E17" s="138">
        <f t="shared" si="1"/>
        <v>1901550.24</v>
      </c>
      <c r="F17" s="138">
        <f t="shared" si="1"/>
        <v>875596.41</v>
      </c>
      <c r="G17" s="138">
        <f t="shared" si="1"/>
        <v>2455422.1999999993</v>
      </c>
    </row>
    <row r="19" spans="1:7" ht="15.75" thickBot="1">
      <c r="A19" s="41"/>
      <c r="B19" s="41"/>
      <c r="C19" s="41"/>
      <c r="D19" s="41"/>
      <c r="E19" s="41"/>
      <c r="F19" s="41"/>
      <c r="G19" s="41"/>
    </row>
    <row r="20" spans="1:7" ht="15.75" thickBot="1">
      <c r="A20" s="210" t="s">
        <v>140</v>
      </c>
      <c r="B20" s="213" t="s">
        <v>130</v>
      </c>
      <c r="C20" s="214"/>
      <c r="D20" s="215" t="s">
        <v>131</v>
      </c>
      <c r="E20" s="215" t="s">
        <v>132</v>
      </c>
      <c r="F20" s="215" t="s">
        <v>133</v>
      </c>
      <c r="G20" s="215" t="s">
        <v>134</v>
      </c>
    </row>
    <row r="21" spans="1:7" ht="30.75" thickBot="1">
      <c r="A21" s="212"/>
      <c r="B21" s="115" t="s">
        <v>135</v>
      </c>
      <c r="C21" s="116" t="s">
        <v>136</v>
      </c>
      <c r="D21" s="216"/>
      <c r="E21" s="216"/>
      <c r="F21" s="216"/>
      <c r="G21" s="216"/>
    </row>
    <row r="22" spans="1:7" ht="15.75" thickBot="1">
      <c r="A22" s="139" t="s">
        <v>137</v>
      </c>
      <c r="B22" s="122">
        <f>SUM(B23:B25)</f>
        <v>11541.36</v>
      </c>
      <c r="C22" s="123">
        <f>SUM(C23:C25)</f>
        <v>9875.25</v>
      </c>
      <c r="D22" s="123">
        <f>SUM(D23:D25)</f>
        <v>9875.25</v>
      </c>
      <c r="E22" s="123">
        <f>SUM(E23:E25)</f>
        <v>9875.25</v>
      </c>
      <c r="F22" s="123">
        <f>SUM(F23:F25)</f>
        <v>0</v>
      </c>
      <c r="G22" s="123">
        <f aca="true" t="shared" si="2" ref="G22:G27">B22+C22-E22-F22</f>
        <v>11541.36</v>
      </c>
    </row>
    <row r="23" spans="1:7" ht="15">
      <c r="A23" s="140" t="s">
        <v>107</v>
      </c>
      <c r="B23" s="126"/>
      <c r="C23" s="126"/>
      <c r="D23" s="129"/>
      <c r="E23" s="129"/>
      <c r="F23" s="129"/>
      <c r="G23" s="127">
        <f t="shared" si="2"/>
        <v>0</v>
      </c>
    </row>
    <row r="24" spans="1:7" ht="15">
      <c r="A24" s="140" t="s">
        <v>108</v>
      </c>
      <c r="B24" s="126"/>
      <c r="C24" s="127"/>
      <c r="D24" s="127"/>
      <c r="E24" s="127"/>
      <c r="F24" s="127"/>
      <c r="G24" s="127">
        <f t="shared" si="2"/>
        <v>0</v>
      </c>
    </row>
    <row r="25" spans="1:7" ht="15.75" thickBot="1">
      <c r="A25" s="140" t="s">
        <v>109</v>
      </c>
      <c r="B25" s="133">
        <f>HLOOKUP($A$1,'[1]DADOS'!1:156,123,0)</f>
        <v>11541.36</v>
      </c>
      <c r="C25" s="133">
        <f>HLOOKUP($A$1,'[1]DADOS'!1:156,107,0)</f>
        <v>9875.25</v>
      </c>
      <c r="D25" s="129">
        <f>$E$25</f>
        <v>9875.25</v>
      </c>
      <c r="E25" s="134">
        <f>HLOOKUP($A$1,'[1]DADOS'!1:156,109,0)+HLOOKUP($A$1,'[1]DADOS'!1:156,125,0)</f>
        <v>9875.25</v>
      </c>
      <c r="F25" s="134">
        <f>HLOOKUP($A$1,'[1]DADOS'!1:156,111,0)+HLOOKUP($A$1,'[1]DADOS'!1:156,127,0)</f>
        <v>0</v>
      </c>
      <c r="G25" s="132">
        <f t="shared" si="2"/>
        <v>11541.36</v>
      </c>
    </row>
    <row r="26" spans="1:7" ht="15.75" thickBot="1">
      <c r="A26" s="139" t="s">
        <v>138</v>
      </c>
      <c r="B26" s="122">
        <f>SUM(B27:B29)</f>
        <v>1500</v>
      </c>
      <c r="C26" s="123">
        <f>SUM(C27:C29)</f>
        <v>0</v>
      </c>
      <c r="D26" s="123">
        <f>SUM(D27:D29)</f>
        <v>0</v>
      </c>
      <c r="E26" s="123">
        <f>SUM(E27:E29)</f>
        <v>0</v>
      </c>
      <c r="F26" s="123">
        <f>SUM(F27:F29)</f>
        <v>0</v>
      </c>
      <c r="G26" s="123">
        <f t="shared" si="2"/>
        <v>1500</v>
      </c>
    </row>
    <row r="27" spans="1:7" ht="15">
      <c r="A27" s="140" t="s">
        <v>111</v>
      </c>
      <c r="B27" s="131">
        <f>HLOOKUP($A$1,'[1]DADOS'!1:156,130,0)</f>
        <v>1500</v>
      </c>
      <c r="C27" s="132">
        <f>HLOOKUP($A$1,'[1]DADOS'!1:156,114,0)</f>
        <v>0</v>
      </c>
      <c r="D27" s="132">
        <f>$E$27</f>
        <v>0</v>
      </c>
      <c r="E27" s="134">
        <f>HLOOKUP($A$1,'[1]DADOS'!1:156,116,0)+HLOOKUP($A$1,'[1]DADOS'!1:156,132,0)</f>
        <v>0</v>
      </c>
      <c r="F27" s="134">
        <f>HLOOKUP($A$1,'[1]DADOS'!1:156,118,0)+HLOOKUP($A$1,'[1]DADOS'!1:156,134,0)</f>
        <v>0</v>
      </c>
      <c r="G27" s="132">
        <f t="shared" si="2"/>
        <v>1500</v>
      </c>
    </row>
    <row r="28" spans="1:7" ht="15">
      <c r="A28" s="140" t="s">
        <v>112</v>
      </c>
      <c r="B28" s="126"/>
      <c r="C28" s="127"/>
      <c r="D28" s="127"/>
      <c r="E28" s="127"/>
      <c r="F28" s="127"/>
      <c r="G28" s="127"/>
    </row>
    <row r="29" spans="1:7" ht="15.75" thickBot="1">
      <c r="A29" s="140" t="s">
        <v>113</v>
      </c>
      <c r="B29" s="136"/>
      <c r="C29" s="127"/>
      <c r="D29" s="141"/>
      <c r="E29" s="127"/>
      <c r="F29" s="127"/>
      <c r="G29" s="127"/>
    </row>
    <row r="30" spans="1:7" s="64" customFormat="1" ht="15.75" thickBot="1">
      <c r="A30" s="42" t="s">
        <v>139</v>
      </c>
      <c r="B30" s="137">
        <f aca="true" t="shared" si="3" ref="B30:G30">B22+B26</f>
        <v>13041.36</v>
      </c>
      <c r="C30" s="138">
        <f t="shared" si="3"/>
        <v>9875.25</v>
      </c>
      <c r="D30" s="138">
        <f t="shared" si="3"/>
        <v>9875.25</v>
      </c>
      <c r="E30" s="138">
        <f t="shared" si="3"/>
        <v>9875.25</v>
      </c>
      <c r="F30" s="138">
        <f t="shared" si="3"/>
        <v>0</v>
      </c>
      <c r="G30" s="138">
        <f t="shared" si="3"/>
        <v>13041.36</v>
      </c>
    </row>
    <row r="31" spans="1:14" s="24" customFormat="1" ht="13.5" customHeight="1">
      <c r="A31" s="20" t="s">
        <v>47</v>
      </c>
      <c r="B31" s="21"/>
      <c r="C31" s="21"/>
      <c r="D31" s="21"/>
      <c r="E31" s="22"/>
      <c r="F31" s="22"/>
      <c r="G31" s="22"/>
      <c r="H31" s="21"/>
      <c r="I31" s="21"/>
      <c r="J31" s="21"/>
      <c r="K31" s="22"/>
      <c r="L31" s="22"/>
      <c r="M31" s="22"/>
      <c r="N31" s="23"/>
    </row>
    <row r="32" spans="1:16" s="24" customFormat="1" ht="9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109"/>
      <c r="P32" s="27"/>
    </row>
    <row r="33" spans="1:14" s="24" customFormat="1" ht="9">
      <c r="A33" s="20" t="s">
        <v>48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6"/>
    </row>
    <row r="34" spans="1:14" s="24" customFormat="1" ht="9">
      <c r="A34" s="172" t="s">
        <v>49</v>
      </c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</row>
    <row r="35" spans="1:14" s="24" customFormat="1" ht="9">
      <c r="A35" s="172" t="s">
        <v>50</v>
      </c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</row>
    <row r="36" spans="1:14" s="24" customFormat="1" ht="9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</row>
    <row r="37" spans="1:14" s="24" customFormat="1" ht="9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</row>
    <row r="38" spans="1:14" s="1" customFormat="1" ht="11.25">
      <c r="A38" s="110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30"/>
    </row>
    <row r="39" s="1" customFormat="1" ht="11.25">
      <c r="I39" s="30"/>
    </row>
    <row r="40" spans="1:7" s="19" customFormat="1" ht="13.5" customHeight="1">
      <c r="A40" s="31" t="s">
        <v>53</v>
      </c>
      <c r="B40" s="181"/>
      <c r="C40" s="181"/>
      <c r="D40" s="181"/>
      <c r="E40" s="173" t="s">
        <v>54</v>
      </c>
      <c r="F40" s="173"/>
      <c r="G40" s="173"/>
    </row>
    <row r="41" spans="1:8" s="1" customFormat="1" ht="13.5" customHeight="1">
      <c r="A41" s="33" t="s">
        <v>55</v>
      </c>
      <c r="B41" s="176"/>
      <c r="C41" s="176"/>
      <c r="D41" s="176"/>
      <c r="E41" s="182" t="s">
        <v>127</v>
      </c>
      <c r="F41" s="182"/>
      <c r="G41" s="182"/>
      <c r="H41" s="112"/>
    </row>
    <row r="42" spans="1:8" s="1" customFormat="1" ht="13.5" customHeight="1">
      <c r="A42" s="35" t="s">
        <v>57</v>
      </c>
      <c r="B42" s="171"/>
      <c r="C42" s="171"/>
      <c r="D42" s="171"/>
      <c r="E42" s="171" t="s">
        <v>58</v>
      </c>
      <c r="F42" s="171"/>
      <c r="G42" s="171"/>
      <c r="H42" s="113"/>
    </row>
    <row r="43" spans="1:8" s="1" customFormat="1" ht="13.5" customHeight="1">
      <c r="A43" s="37" t="s">
        <v>59</v>
      </c>
      <c r="B43" s="171"/>
      <c r="C43" s="171"/>
      <c r="D43" s="171"/>
      <c r="E43" s="171" t="s">
        <v>59</v>
      </c>
      <c r="F43" s="171"/>
      <c r="G43" s="171"/>
      <c r="H43" s="113"/>
    </row>
  </sheetData>
  <sheetProtection/>
  <mergeCells count="25">
    <mergeCell ref="A35:N35"/>
    <mergeCell ref="B40:D40"/>
    <mergeCell ref="E40:G40"/>
    <mergeCell ref="B43:D43"/>
    <mergeCell ref="E43:G43"/>
    <mergeCell ref="B41:D41"/>
    <mergeCell ref="E41:G41"/>
    <mergeCell ref="B42:D42"/>
    <mergeCell ref="E42:G42"/>
    <mergeCell ref="A20:A21"/>
    <mergeCell ref="B20:C20"/>
    <mergeCell ref="B7:C7"/>
    <mergeCell ref="A34:N34"/>
    <mergeCell ref="D20:D21"/>
    <mergeCell ref="E20:E21"/>
    <mergeCell ref="F20:F21"/>
    <mergeCell ref="G20:G21"/>
    <mergeCell ref="A2:G2"/>
    <mergeCell ref="A3:G3"/>
    <mergeCell ref="A4:G4"/>
    <mergeCell ref="D7:D8"/>
    <mergeCell ref="E7:E8"/>
    <mergeCell ref="F7:F8"/>
    <mergeCell ref="G7:G8"/>
    <mergeCell ref="A7:A8"/>
  </mergeCells>
  <printOptions/>
  <pageMargins left="0.511811024" right="0.511811024" top="0.36" bottom="0.33" header="0.31496062" footer="0.31496062"/>
  <pageSetup horizontalDpi="600" verticalDpi="600" orientation="landscape" paperSize="9" scale="85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d835717</dc:creator>
  <cp:keywords/>
  <dc:description/>
  <cp:lastModifiedBy>d835717</cp:lastModifiedBy>
  <cp:lastPrinted>2017-02-07T13:08:55Z</cp:lastPrinted>
  <dcterms:created xsi:type="dcterms:W3CDTF">2017-02-07T12:30:15Z</dcterms:created>
  <dcterms:modified xsi:type="dcterms:W3CDTF">2017-02-07T13:09:11Z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</Properties>
</file>