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1840" windowHeight="10035"/>
  </bookViews>
  <sheets>
    <sheet name="Balanço Financeiro " sheetId="1" r:id="rId1"/>
    <sheet name="Balanço Orçamentário MCASP" sheetId="2" r:id="rId2"/>
    <sheet name="Anexos do BO" sheetId="3" r:id="rId3"/>
  </sheets>
  <externalReferences>
    <externalReference r:id="rId4"/>
  </externalReferences>
  <definedNames>
    <definedName name="_xlnm.Print_Area" localSheetId="2">'Anexos do BO'!$A$2:$G$43</definedName>
    <definedName name="_xlnm.Print_Area" localSheetId="0">'Balanço Financeiro '!$A$1:$N$59</definedName>
    <definedName name="_xlnm.Print_Area" localSheetId="1">'Balanço Orçamentário MCASP'!$A$2:$G$78</definedName>
  </definedNames>
  <calcPr calcId="145621"/>
</workbook>
</file>

<file path=xl/calcChain.xml><?xml version="1.0" encoding="utf-8"?>
<calcChain xmlns="http://schemas.openxmlformats.org/spreadsheetml/2006/main">
  <c r="G24" i="3"/>
  <c r="G23"/>
  <c r="G16"/>
  <c r="G15"/>
  <c r="G11"/>
  <c r="G10"/>
  <c r="A1"/>
  <c r="E27"/>
  <c r="F52" i="2"/>
  <c r="E52"/>
  <c r="D52"/>
  <c r="C52"/>
  <c r="G52"/>
  <c r="B52"/>
  <c r="G35"/>
  <c r="F35"/>
  <c r="D35"/>
  <c r="B35"/>
  <c r="F25"/>
  <c r="D25"/>
  <c r="B25"/>
  <c r="G22"/>
  <c r="G21"/>
  <c r="G20"/>
  <c r="G19"/>
  <c r="G18"/>
  <c r="F17"/>
  <c r="G17"/>
  <c r="D17"/>
  <c r="B17"/>
  <c r="D15"/>
  <c r="G15"/>
  <c r="D14"/>
  <c r="G14"/>
  <c r="D13"/>
  <c r="G13"/>
  <c r="D12"/>
  <c r="G12"/>
  <c r="G10"/>
  <c r="G9"/>
  <c r="A1"/>
  <c r="F46"/>
  <c r="F45"/>
  <c r="N35" i="1"/>
  <c r="G35"/>
  <c r="N34"/>
  <c r="G34"/>
  <c r="N33"/>
  <c r="G33"/>
  <c r="N32"/>
  <c r="N36"/>
  <c r="G32"/>
  <c r="G36"/>
  <c r="O36"/>
  <c r="N31"/>
  <c r="G31"/>
  <c r="N30"/>
  <c r="G30"/>
  <c r="N29"/>
  <c r="G29"/>
  <c r="N28"/>
  <c r="G28"/>
  <c r="N27"/>
  <c r="G27"/>
  <c r="N26"/>
  <c r="G26"/>
  <c r="N25"/>
  <c r="G25"/>
  <c r="N24"/>
  <c r="G24"/>
  <c r="N23"/>
  <c r="G23"/>
  <c r="N22"/>
  <c r="G22"/>
  <c r="N21"/>
  <c r="G21"/>
  <c r="N20"/>
  <c r="G20"/>
  <c r="N19"/>
  <c r="G19"/>
  <c r="N18"/>
  <c r="G18"/>
  <c r="N17"/>
  <c r="G17"/>
  <c r="N16"/>
  <c r="G16"/>
  <c r="N15"/>
  <c r="G15"/>
  <c r="N14"/>
  <c r="G14"/>
  <c r="N13"/>
  <c r="G13"/>
  <c r="N12"/>
  <c r="G12"/>
  <c r="N11"/>
  <c r="G11"/>
  <c r="N10"/>
  <c r="G10"/>
  <c r="N9"/>
  <c r="G9"/>
  <c r="N8"/>
  <c r="G8"/>
  <c r="N7"/>
  <c r="G7"/>
  <c r="E26" i="3"/>
  <c r="D27"/>
  <c r="D26"/>
  <c r="B12"/>
  <c r="F12"/>
  <c r="F9"/>
  <c r="B14"/>
  <c r="F14"/>
  <c r="F13"/>
  <c r="B25"/>
  <c r="F25"/>
  <c r="F22"/>
  <c r="B27"/>
  <c r="F27"/>
  <c r="F26"/>
  <c r="C12"/>
  <c r="C9"/>
  <c r="E12"/>
  <c r="C14"/>
  <c r="C13"/>
  <c r="E14"/>
  <c r="C25"/>
  <c r="C22"/>
  <c r="E25"/>
  <c r="C27"/>
  <c r="C26"/>
  <c r="B11" i="2"/>
  <c r="F11"/>
  <c r="B16"/>
  <c r="D16"/>
  <c r="F16"/>
  <c r="G16"/>
  <c r="G25"/>
  <c r="C44"/>
  <c r="E44"/>
  <c r="E41"/>
  <c r="C46"/>
  <c r="E46"/>
  <c r="E45"/>
  <c r="B44"/>
  <c r="B41"/>
  <c r="D44"/>
  <c r="D41"/>
  <c r="F44"/>
  <c r="F41"/>
  <c r="F51"/>
  <c r="F59"/>
  <c r="F61"/>
  <c r="B46"/>
  <c r="B45"/>
  <c r="D46"/>
  <c r="D45"/>
  <c r="E13" i="3"/>
  <c r="D14"/>
  <c r="D13"/>
  <c r="F30"/>
  <c r="F17"/>
  <c r="E22"/>
  <c r="E30"/>
  <c r="D25"/>
  <c r="D22"/>
  <c r="D30"/>
  <c r="E9"/>
  <c r="E17"/>
  <c r="D12"/>
  <c r="D9"/>
  <c r="D17"/>
  <c r="C30"/>
  <c r="C17"/>
  <c r="G27"/>
  <c r="B26"/>
  <c r="G26"/>
  <c r="G25"/>
  <c r="B22"/>
  <c r="G14"/>
  <c r="B13"/>
  <c r="G13"/>
  <c r="G12"/>
  <c r="B9"/>
  <c r="D51" i="2"/>
  <c r="D59"/>
  <c r="E51"/>
  <c r="E59"/>
  <c r="D11"/>
  <c r="D8"/>
  <c r="D24"/>
  <c r="D32"/>
  <c r="B8"/>
  <c r="B24"/>
  <c r="B32"/>
  <c r="B51"/>
  <c r="B59"/>
  <c r="G46"/>
  <c r="C45"/>
  <c r="G45"/>
  <c r="G44"/>
  <c r="C41"/>
  <c r="G11"/>
  <c r="F8"/>
  <c r="G9" i="3"/>
  <c r="G17"/>
  <c r="B17"/>
  <c r="G22"/>
  <c r="G30"/>
  <c r="B30"/>
  <c r="C51" i="2"/>
  <c r="G41"/>
  <c r="B60"/>
  <c r="B61"/>
  <c r="B33"/>
  <c r="B34"/>
  <c r="E60"/>
  <c r="E61"/>
  <c r="F24"/>
  <c r="G8"/>
  <c r="G24"/>
  <c r="F32"/>
  <c r="C59"/>
  <c r="G51"/>
  <c r="D60"/>
  <c r="D61"/>
  <c r="F33"/>
  <c r="F34"/>
  <c r="G32"/>
  <c r="G59"/>
  <c r="C60"/>
  <c r="C61"/>
  <c r="G61"/>
  <c r="D33"/>
  <c r="D34"/>
  <c r="G34"/>
  <c r="G60"/>
  <c r="G33"/>
</calcChain>
</file>

<file path=xl/sharedStrings.xml><?xml version="1.0" encoding="utf-8"?>
<sst xmlns="http://schemas.openxmlformats.org/spreadsheetml/2006/main" count="234" uniqueCount="151">
  <si>
    <t>FUMCAD - Fundo Municipal da Criança e do Adolescente</t>
  </si>
  <si>
    <t xml:space="preserve">Balancete Financeiro </t>
  </si>
  <si>
    <t>JULHO 2017</t>
  </si>
  <si>
    <t>em R$</t>
  </si>
  <si>
    <t>INGRESSOS</t>
  </si>
  <si>
    <t>DISPÊNDIOS</t>
  </si>
  <si>
    <t>ESPECIFICAÇÃO</t>
  </si>
  <si>
    <t>Exercício Atual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</si>
  <si>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</si>
  <si>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</si>
  <si>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</si>
  <si>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</si>
  <si>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</si>
  <si>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</si>
  <si>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</si>
  <si>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</si>
  <si>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</si>
  <si>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</si>
  <si>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</si>
  <si>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</si>
  <si>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</si>
  <si>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</si>
  <si>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</si>
  <si>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</si>
  <si>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</si>
  <si>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</si>
  <si>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</si>
  <si>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</si>
  <si>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</si>
  <si>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</si>
  <si>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>EMPENHOS NÃO LIQUIDADOS A PAGAR - TESOURO</t>
  </si>
  <si>
    <t>PAGAMENTOS DE RESTOS A PAGAR NÃO PROCESSADOS - TESOURO</t>
  </si>
  <si>
    <t>EMPENHOS NÃO LIQUIDADOS A PAGAR - OUTRAS FONTES</t>
  </si>
  <si>
    <t>PAGAMENTOS DE RESTOS A PAGAR NÃO PROCESSADOS - OUTRAS FONTES</t>
  </si>
  <si>
    <t>EMPENHOS LIQUIDADOS A PAGAR - TESOURO</t>
  </si>
  <si>
    <t>PAGAMENTOS DE RESTOS A PAGAR PROCESSADOS - TESOURO</t>
  </si>
  <si>
    <t>EMPENHOS LIQUIDADOS A PAGAR - OUTRAS FONTES</t>
  </si>
  <si>
    <t>PAGAMENTOS DE RESTOS A PAGAR PROCESSADOS - OUTRAS FONTES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</si>
  <si>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</si>
  <si>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</si>
  <si>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</si>
  <si>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</si>
  <si>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</si>
  <si>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>CAIXA E EQUIVALENTES DE CAIXA - TESOURO</t>
  </si>
  <si>
    <t>CAIXA E EQUIVALENTES DE CAIXA - OUTRAS FONTES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</si>
  <si>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</si>
  <si>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</si>
  <si>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</si>
  <si>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</si>
  <si>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</si>
  <si>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6074.2017/0000095-0.</t>
  </si>
  <si>
    <r>
      <t xml:space="preserve">3. </t>
    </r>
    <r>
      <rPr>
        <b/>
        <sz val="7"/>
        <rFont val="Arial"/>
        <family val="2"/>
      </rPr>
      <t>Transferências Financeiras Concedidas:</t>
    </r>
  </si>
  <si>
    <t>3.1. Redimentos financeiros, do recurso transferido para o Projeto Mais Escola I, repassados para SME - R$1.968.103,35.</t>
  </si>
  <si>
    <t>3.2. Desvinculação de Receitas Municipais referente a Portaria SF nº 200 de 31/07/2017 e Decreto nº 57.380/2016 - R$15.480.496,12.</t>
  </si>
  <si>
    <r>
      <t xml:space="preserve">4. </t>
    </r>
    <r>
      <rPr>
        <b/>
        <sz val="7"/>
        <rFont val="Arial"/>
        <family val="2"/>
      </rPr>
      <t>Caixa e Equivalente de Caixa</t>
    </r>
    <r>
      <rPr>
        <sz val="7"/>
        <rFont val="Arial"/>
        <family val="2"/>
      </rPr>
      <t xml:space="preserve"> - conciliados de acordo com as contas movimentos e de arrecadações de boletos do fundo.</t>
    </r>
  </si>
  <si>
    <t>4.1. Ajustado em virtude da não transferência financeira do valor desvinculação para o Tesouro.</t>
  </si>
  <si>
    <r>
      <t xml:space="preserve">5. </t>
    </r>
    <r>
      <rPr>
        <b/>
        <sz val="7"/>
        <rFont val="Arial"/>
        <family val="2"/>
      </rPr>
      <t>Outros Recebimentos Extraorçamentários</t>
    </r>
  </si>
  <si>
    <t>5.1. Trata-se da conciliação dos boletos de arrecadações dos créditos e recursos extraorçamentários a apropriar. Devoluções por meio de depósitos judiciais - Processos Administrativos 2017-0.028.796-2 e 2017-0.048.618-3.</t>
  </si>
  <si>
    <r>
      <t xml:space="preserve">6. </t>
    </r>
    <r>
      <rPr>
        <b/>
        <sz val="7"/>
        <rFont val="Arial"/>
        <family val="2"/>
      </rPr>
      <t>Outros Pagamentos Extraorçamentários</t>
    </r>
  </si>
  <si>
    <t>6.1. Trata-se de recursos extraorçamentários reclassificados como orçamentários, reclassificação entre contas de receitas e transferências de recursos para pagamentos a serem realizados na competência seguinte.</t>
  </si>
  <si>
    <r>
      <rPr>
        <b/>
        <sz val="7"/>
        <rFont val="Arial"/>
        <family val="2"/>
      </rPr>
      <t>7. Receita Orçamentária ORDINÁRIA</t>
    </r>
    <r>
      <rPr>
        <sz val="7"/>
        <rFont val="Arial"/>
        <family val="2"/>
      </rPr>
      <t xml:space="preserve"> - Valor da desvinculação do excercício de 2017 dos valores arrecadados de janeiro até 14 de julho.</t>
    </r>
  </si>
  <si>
    <t>Cleber Tavares de Souza</t>
  </si>
  <si>
    <t>Debora Eduarda Rezende Sindona</t>
  </si>
  <si>
    <t>Eloisa de Sousa Arruda</t>
  </si>
  <si>
    <t>Analista de Planej. e Desenv. Organiz. - Contador</t>
  </si>
  <si>
    <t>Supervisora de Execução Orçamentária e Financeiro</t>
  </si>
  <si>
    <t>Sec. Mun. de Direitos Humanos e Cidadania</t>
  </si>
  <si>
    <t>CRC 1SP257069/O-3</t>
  </si>
  <si>
    <t>CRC 1SP148226/O</t>
  </si>
  <si>
    <t>CPF: 064.531.768-31</t>
  </si>
  <si>
    <t>SMDHC</t>
  </si>
  <si>
    <t>BALANÇO ORÇAMENTÁRIO</t>
  </si>
  <si>
    <t>ORÇAMENTOS FISCAL E DA SEGURIDADE SOCIAL</t>
  </si>
  <si>
    <t>COMPETÊNCIA: JULHO 2017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</si>
  <si>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</si>
  <si>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</si>
  <si>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</si>
  <si>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</si>
  <si>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</si>
  <si>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</si>
  <si>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</si>
  <si>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</si>
  <si>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</si>
  <si>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</si>
  <si>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</si>
  <si>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</si>
  <si>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</si>
  <si>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</si>
  <si>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</si>
  <si>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</si>
  <si>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</si>
  <si>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</si>
  <si>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</si>
  <si>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</si>
  <si>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Recursos Arrecadados em Exercícios Anteriores (III)</t>
  </si>
  <si>
    <t>SUBTOTAL DAS RECEITAS (IV) = (I + II + III)</t>
  </si>
  <si>
    <t>Operações de Crédito / Refinanciamento (V)</t>
  </si>
  <si>
    <t>Operações de Crédito Internas</t>
  </si>
  <si>
    <t>Mobiliária</t>
  </si>
  <si>
    <t>Contratual</t>
  </si>
  <si>
    <t>Operações de Crédito Externas</t>
  </si>
  <si>
    <t>SUBTOTAL COM REFINANCIAMENTO ( VI) = (IV + V)</t>
  </si>
  <si>
    <t>Déficit (VII)</t>
  </si>
  <si>
    <t>TOTAL (VIII) = (VI + VII)</t>
  </si>
  <si>
    <t>SALDOS DE EXERCÍCIO ANTERIORES</t>
  </si>
  <si>
    <t>]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</si>
  <si>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</si>
  <si>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</si>
  <si>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</si>
  <si>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</si>
  <si>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</si>
  <si>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</si>
  <si>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</si>
  <si>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</si>
  <si>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(IX)</t>
  </si>
  <si>
    <t>Pessoal e Encargos Sociais</t>
  </si>
  <si>
    <t>Juros e Encargos da Dívida</t>
  </si>
  <si>
    <t>Outras Despesas Correntes</t>
  </si>
  <si>
    <t>Despesas de Capital (X)</t>
  </si>
  <si>
    <t>Investimentos</t>
  </si>
  <si>
    <t>Inversões Financeiras</t>
  </si>
  <si>
    <t>Amortização da Dívida</t>
  </si>
  <si>
    <t>Reserva de Contingência (XI)</t>
  </si>
  <si>
    <t>Reserva do RPPS (XII)</t>
  </si>
  <si>
    <t>SUBTOTAL DAS DESPESAS (XIII) = (IX + X + XI + XII)</t>
  </si>
  <si>
    <t>Amortização da Dívida/ Refinanciamento (XIV)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</si>
  <si>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</si>
  <si>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</si>
  <si>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</si>
  <si>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</si>
  <si>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</si>
  <si>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(XV)= (XIII + XIV)</t>
  </si>
  <si>
    <t>Superávit (XVI)</t>
  </si>
  <si>
    <t>TOTAL (XVII) = (XV + XVI)</t>
  </si>
  <si>
    <t>Fonte: Lei Municipal nº 16.608/2016 (estima receita e fixa despesa para 2017), Relatórios do Sistema de Orçamento e Finanças - SOF</t>
  </si>
  <si>
    <t>3. Receita Patrimonial - Rendimentos financeiros.</t>
  </si>
  <si>
    <t>4. Outras Receitas Correntes - Imposto de Renda; Devoluções; Apropriação sem identificação do doador; Multas decorrentes de sentenças judiciais.</t>
  </si>
  <si>
    <t>Secretário Mun. de Direitos Humanos e Cidadania</t>
  </si>
  <si>
    <t>EXECUÇÃO DE RESTOS A PAGAR PROCESSADO E NÃO PROCESSADOS</t>
  </si>
  <si>
    <t>RESTO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</si>
  <si>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</si>
  <si>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</si>
  <si>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</si>
  <si>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</si>
  <si>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</si>
  <si>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</si>
  <si>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</si>
  <si>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</si>
  <si>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</si>
  <si>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</si>
  <si>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 A PAGAR  PROCESSADO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</si>
</sst>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</numFmts>
  <fonts count="2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7"/>
      <color indexed="52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indexed="5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top"/>
    </xf>
    <xf numFmtId="0" fontId="3" fillId="0" borderId="0"/>
    <xf numFmtId="0" fontId="17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3" fillId="0" borderId="0" applyFill="0" applyBorder="0" applyAlignment="0" applyProtection="0"/>
  </cellStyleXfs>
  <cellXfs count="221">
    <xf numFmtId="0" fontId="0" fillId="0" borderId="0" xfId="0">
      <alignment vertical="top"/>
    </xf>
    <xf numFmtId="0" fontId="2" fillId="0" borderId="0" xfId="0" applyFont="1" applyFill="1" applyAlignment="1">
      <alignment vertical="center"/>
    </xf>
    <xf numFmtId="43" fontId="2" fillId="0" borderId="0" xfId="4" applyFont="1" applyFill="1" applyAlignment="1">
      <alignment vertical="center"/>
    </xf>
    <xf numFmtId="0" fontId="2" fillId="0" borderId="0" xfId="0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 vertical="center" wrapText="1" readingOrder="1"/>
    </xf>
    <xf numFmtId="0" fontId="5" fillId="2" borderId="1" xfId="0" applyFont="1" applyFill="1" applyBorder="1" applyAlignment="1">
      <alignment horizontal="center" vertical="center" readingOrder="1"/>
    </xf>
    <xf numFmtId="164" fontId="5" fillId="0" borderId="2" xfId="0" applyNumberFormat="1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165" fontId="2" fillId="0" borderId="0" xfId="4" applyNumberFormat="1" applyFont="1" applyFill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43" fontId="2" fillId="0" borderId="0" xfId="0" applyNumberFormat="1" applyFont="1" applyFill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readingOrder="1"/>
    </xf>
    <xf numFmtId="0" fontId="7" fillId="0" borderId="0" xfId="0" applyFont="1" applyFill="1" applyAlignment="1">
      <alignment vertical="center" readingOrder="1"/>
    </xf>
    <xf numFmtId="164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readingOrder="1"/>
    </xf>
    <xf numFmtId="0" fontId="8" fillId="0" borderId="0" xfId="0" applyFont="1" applyFill="1" applyAlignment="1">
      <alignment horizontal="right" vertical="center"/>
    </xf>
    <xf numFmtId="43" fontId="8" fillId="0" borderId="0" xfId="0" applyNumberFormat="1" applyFont="1" applyFill="1" applyAlignment="1">
      <alignment vertical="center"/>
    </xf>
    <xf numFmtId="43" fontId="8" fillId="0" borderId="0" xfId="4" applyFont="1" applyFill="1" applyAlignment="1">
      <alignment vertical="center"/>
    </xf>
    <xf numFmtId="0" fontId="9" fillId="0" borderId="0" xfId="0" applyFont="1" applyFill="1" applyAlignment="1">
      <alignment vertical="center" wrapText="1" readingOrder="1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 readingOrder="1"/>
    </xf>
    <xf numFmtId="0" fontId="13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14" fontId="17" fillId="3" borderId="0" xfId="2" applyNumberFormat="1" applyFill="1"/>
    <xf numFmtId="0" fontId="17" fillId="0" borderId="0" xfId="2"/>
    <xf numFmtId="49" fontId="17" fillId="0" borderId="0" xfId="2" applyNumberFormat="1"/>
    <xf numFmtId="0" fontId="19" fillId="0" borderId="0" xfId="2" applyFont="1" applyAlignment="1">
      <alignment horizontal="center"/>
    </xf>
    <xf numFmtId="0" fontId="19" fillId="4" borderId="5" xfId="2" applyFont="1" applyFill="1" applyBorder="1"/>
    <xf numFmtId="0" fontId="19" fillId="4" borderId="6" xfId="2" applyFont="1" applyFill="1" applyBorder="1" applyAlignment="1">
      <alignment horizontal="center"/>
    </xf>
    <xf numFmtId="0" fontId="19" fillId="4" borderId="7" xfId="2" applyFont="1" applyFill="1" applyBorder="1" applyAlignment="1">
      <alignment horizontal="center"/>
    </xf>
    <xf numFmtId="0" fontId="19" fillId="4" borderId="8" xfId="2" applyFont="1" applyFill="1" applyBorder="1"/>
    <xf numFmtId="166" fontId="19" fillId="4" borderId="4" xfId="4" applyNumberFormat="1" applyFont="1" applyFill="1" applyBorder="1"/>
    <xf numFmtId="166" fontId="19" fillId="4" borderId="9" xfId="4" applyNumberFormat="1" applyFont="1" applyFill="1" applyBorder="1"/>
    <xf numFmtId="0" fontId="17" fillId="0" borderId="10" xfId="2" applyBorder="1"/>
    <xf numFmtId="166" fontId="17" fillId="0" borderId="3" xfId="4" applyNumberFormat="1" applyFont="1" applyBorder="1"/>
    <xf numFmtId="166" fontId="17" fillId="0" borderId="11" xfId="4" applyNumberFormat="1" applyFont="1" applyBorder="1"/>
    <xf numFmtId="0" fontId="17" fillId="0" borderId="10" xfId="2" applyFont="1" applyBorder="1"/>
    <xf numFmtId="166" fontId="17" fillId="0" borderId="3" xfId="4" applyNumberFormat="1" applyFont="1" applyFill="1" applyBorder="1"/>
    <xf numFmtId="0" fontId="19" fillId="4" borderId="12" xfId="2" applyFont="1" applyFill="1" applyBorder="1"/>
    <xf numFmtId="166" fontId="19" fillId="4" borderId="1" xfId="4" applyNumberFormat="1" applyFont="1" applyFill="1" applyBorder="1"/>
    <xf numFmtId="166" fontId="19" fillId="4" borderId="13" xfId="4" applyNumberFormat="1" applyFont="1" applyFill="1" applyBorder="1"/>
    <xf numFmtId="166" fontId="17" fillId="0" borderId="3" xfId="2" applyNumberFormat="1" applyBorder="1"/>
    <xf numFmtId="0" fontId="19" fillId="4" borderId="14" xfId="2" applyFont="1" applyFill="1" applyBorder="1"/>
    <xf numFmtId="166" fontId="17" fillId="4" borderId="2" xfId="2" applyNumberFormat="1" applyFill="1" applyBorder="1"/>
    <xf numFmtId="166" fontId="17" fillId="4" borderId="15" xfId="2" applyNumberFormat="1" applyFill="1" applyBorder="1"/>
    <xf numFmtId="166" fontId="19" fillId="4" borderId="6" xfId="2" applyNumberFormat="1" applyFont="1" applyFill="1" applyBorder="1"/>
    <xf numFmtId="166" fontId="19" fillId="4" borderId="7" xfId="2" applyNumberFormat="1" applyFont="1" applyFill="1" applyBorder="1"/>
    <xf numFmtId="0" fontId="19" fillId="0" borderId="0" xfId="2" applyFont="1"/>
    <xf numFmtId="166" fontId="17" fillId="4" borderId="4" xfId="4" applyNumberFormat="1" applyFont="1" applyFill="1" applyBorder="1"/>
    <xf numFmtId="166" fontId="17" fillId="4" borderId="9" xfId="4" applyNumberFormat="1" applyFont="1" applyFill="1" applyBorder="1"/>
    <xf numFmtId="166" fontId="17" fillId="0" borderId="11" xfId="2" applyNumberFormat="1" applyBorder="1"/>
    <xf numFmtId="166" fontId="19" fillId="4" borderId="1" xfId="2" applyNumberFormat="1" applyFont="1" applyFill="1" applyBorder="1"/>
    <xf numFmtId="166" fontId="19" fillId="4" borderId="13" xfId="2" applyNumberFormat="1" applyFont="1" applyFill="1" applyBorder="1"/>
    <xf numFmtId="166" fontId="19" fillId="4" borderId="2" xfId="4" applyNumberFormat="1" applyFont="1" applyFill="1" applyBorder="1"/>
    <xf numFmtId="166" fontId="19" fillId="4" borderId="15" xfId="4" applyNumberFormat="1" applyFont="1" applyFill="1" applyBorder="1"/>
    <xf numFmtId="0" fontId="19" fillId="4" borderId="8" xfId="2" applyFont="1" applyFill="1" applyBorder="1" applyAlignment="1">
      <alignment horizontal="left" wrapText="1"/>
    </xf>
    <xf numFmtId="43" fontId="17" fillId="4" borderId="4" xfId="4" applyFont="1" applyFill="1" applyBorder="1"/>
    <xf numFmtId="43" fontId="17" fillId="4" borderId="9" xfId="4" applyFont="1" applyFill="1" applyBorder="1"/>
    <xf numFmtId="0" fontId="19" fillId="0" borderId="14" xfId="2" applyFont="1" applyBorder="1"/>
    <xf numFmtId="0" fontId="17" fillId="0" borderId="2" xfId="2" applyBorder="1"/>
    <xf numFmtId="0" fontId="17" fillId="0" borderId="15" xfId="2" applyBorder="1"/>
    <xf numFmtId="0" fontId="19" fillId="0" borderId="16" xfId="2" applyFont="1" applyBorder="1"/>
    <xf numFmtId="0" fontId="17" fillId="0" borderId="17" xfId="2" applyBorder="1"/>
    <xf numFmtId="0" fontId="17" fillId="0" borderId="18" xfId="2" applyBorder="1"/>
    <xf numFmtId="0" fontId="19" fillId="0" borderId="0" xfId="2" applyFont="1" applyBorder="1"/>
    <xf numFmtId="0" fontId="17" fillId="0" borderId="0" xfId="2" applyBorder="1"/>
    <xf numFmtId="0" fontId="19" fillId="4" borderId="5" xfId="2" applyFont="1" applyFill="1" applyBorder="1" applyAlignment="1">
      <alignment horizontal="center" vertical="center" wrapText="1"/>
    </xf>
    <xf numFmtId="0" fontId="19" fillId="4" borderId="6" xfId="2" applyFont="1" applyFill="1" applyBorder="1" applyAlignment="1">
      <alignment horizontal="center" vertical="center" wrapText="1"/>
    </xf>
    <xf numFmtId="0" fontId="19" fillId="4" borderId="7" xfId="2" applyFont="1" applyFill="1" applyBorder="1" applyAlignment="1">
      <alignment horizontal="center" vertical="center" wrapText="1"/>
    </xf>
    <xf numFmtId="0" fontId="17" fillId="0" borderId="0" xfId="2" applyAlignment="1">
      <alignment horizontal="center" vertical="center" wrapText="1"/>
    </xf>
    <xf numFmtId="0" fontId="19" fillId="4" borderId="19" xfId="2" applyFont="1" applyFill="1" applyBorder="1"/>
    <xf numFmtId="43" fontId="19" fillId="4" borderId="20" xfId="4" applyFont="1" applyFill="1" applyBorder="1"/>
    <xf numFmtId="43" fontId="19" fillId="4" borderId="21" xfId="4" applyFont="1" applyFill="1" applyBorder="1"/>
    <xf numFmtId="0" fontId="17" fillId="0" borderId="3" xfId="2" applyBorder="1"/>
    <xf numFmtId="0" fontId="17" fillId="0" borderId="11" xfId="2" applyBorder="1"/>
    <xf numFmtId="43" fontId="17" fillId="0" borderId="3" xfId="4" applyFont="1" applyFill="1" applyBorder="1"/>
    <xf numFmtId="43" fontId="17" fillId="0" borderId="3" xfId="2" applyNumberFormat="1" applyFont="1" applyFill="1" applyBorder="1"/>
    <xf numFmtId="43" fontId="17" fillId="0" borderId="11" xfId="2" applyNumberFormat="1" applyBorder="1"/>
    <xf numFmtId="43" fontId="17" fillId="0" borderId="0" xfId="4" applyFont="1"/>
    <xf numFmtId="43" fontId="19" fillId="4" borderId="1" xfId="4" applyFont="1" applyFill="1" applyBorder="1"/>
    <xf numFmtId="43" fontId="19" fillId="4" borderId="13" xfId="2" applyNumberFormat="1" applyFont="1" applyFill="1" applyBorder="1"/>
    <xf numFmtId="43" fontId="17" fillId="0" borderId="3" xfId="2" applyNumberFormat="1" applyFill="1" applyBorder="1"/>
    <xf numFmtId="43" fontId="17" fillId="0" borderId="0" xfId="2" applyNumberFormat="1"/>
    <xf numFmtId="0" fontId="19" fillId="0" borderId="10" xfId="2" applyFont="1" applyFill="1" applyBorder="1"/>
    <xf numFmtId="0" fontId="19" fillId="0" borderId="3" xfId="2" applyFont="1" applyFill="1" applyBorder="1"/>
    <xf numFmtId="0" fontId="19" fillId="0" borderId="11" xfId="2" applyFont="1" applyFill="1" applyBorder="1"/>
    <xf numFmtId="43" fontId="19" fillId="4" borderId="6" xfId="2" applyNumberFormat="1" applyFont="1" applyFill="1" applyBorder="1"/>
    <xf numFmtId="43" fontId="19" fillId="4" borderId="7" xfId="2" applyNumberFormat="1" applyFont="1" applyFill="1" applyBorder="1"/>
    <xf numFmtId="43" fontId="19" fillId="4" borderId="1" xfId="2" applyNumberFormat="1" applyFont="1" applyFill="1" applyBorder="1"/>
    <xf numFmtId="43" fontId="19" fillId="4" borderId="13" xfId="4" applyFont="1" applyFill="1" applyBorder="1"/>
    <xf numFmtId="0" fontId="19" fillId="4" borderId="22" xfId="2" applyFont="1" applyFill="1" applyBorder="1"/>
    <xf numFmtId="43" fontId="19" fillId="4" borderId="23" xfId="2" applyNumberFormat="1" applyFont="1" applyFill="1" applyBorder="1"/>
    <xf numFmtId="43" fontId="19" fillId="4" borderId="24" xfId="4" applyFont="1" applyFill="1" applyBorder="1"/>
    <xf numFmtId="43" fontId="8" fillId="0" borderId="0" xfId="4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readingOrder="1"/>
    </xf>
    <xf numFmtId="0" fontId="16" fillId="0" borderId="0" xfId="0" applyFont="1" applyFill="1" applyAlignment="1">
      <alignment vertical="center" readingOrder="1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43" fontId="19" fillId="0" borderId="0" xfId="2" applyNumberFormat="1" applyFont="1" applyAlignment="1">
      <alignment horizontal="center"/>
    </xf>
    <xf numFmtId="0" fontId="19" fillId="4" borderId="25" xfId="2" applyFont="1" applyFill="1" applyBorder="1" applyAlignment="1">
      <alignment horizontal="center" vertical="center" wrapText="1"/>
    </xf>
    <xf numFmtId="0" fontId="19" fillId="4" borderId="26" xfId="2" applyFont="1" applyFill="1" applyBorder="1" applyAlignment="1">
      <alignment horizontal="center" wrapText="1"/>
    </xf>
    <xf numFmtId="0" fontId="19" fillId="4" borderId="26" xfId="2" applyFont="1" applyFill="1" applyBorder="1"/>
    <xf numFmtId="166" fontId="19" fillId="4" borderId="25" xfId="4" applyNumberFormat="1" applyFont="1" applyFill="1" applyBorder="1"/>
    <xf numFmtId="166" fontId="19" fillId="4" borderId="26" xfId="4" applyNumberFormat="1" applyFont="1" applyFill="1" applyBorder="1"/>
    <xf numFmtId="166" fontId="19" fillId="4" borderId="27" xfId="4" applyNumberFormat="1" applyFont="1" applyFill="1" applyBorder="1"/>
    <xf numFmtId="0" fontId="17" fillId="0" borderId="28" xfId="2" applyBorder="1"/>
    <xf numFmtId="166" fontId="17" fillId="0" borderId="29" xfId="2" applyNumberFormat="1" applyBorder="1"/>
    <xf numFmtId="166" fontId="17" fillId="0" borderId="28" xfId="2" applyNumberFormat="1" applyBorder="1"/>
    <xf numFmtId="166" fontId="17" fillId="0" borderId="30" xfId="2" applyNumberFormat="1" applyBorder="1"/>
    <xf numFmtId="166" fontId="17" fillId="0" borderId="28" xfId="4" applyNumberFormat="1" applyFont="1" applyBorder="1"/>
    <xf numFmtId="166" fontId="17" fillId="0" borderId="29" xfId="4" applyNumberFormat="1" applyFont="1" applyBorder="1"/>
    <xf numFmtId="166" fontId="17" fillId="0" borderId="29" xfId="2" applyNumberFormat="1" applyFill="1" applyBorder="1"/>
    <xf numFmtId="166" fontId="17" fillId="0" borderId="28" xfId="4" applyNumberFormat="1" applyFont="1" applyFill="1" applyBorder="1"/>
    <xf numFmtId="166" fontId="17" fillId="0" borderId="29" xfId="4" applyNumberFormat="1" applyFont="1" applyFill="1" applyBorder="1"/>
    <xf numFmtId="166" fontId="17" fillId="0" borderId="28" xfId="2" applyNumberFormat="1" applyFill="1" applyBorder="1"/>
    <xf numFmtId="0" fontId="17" fillId="0" borderId="31" xfId="2" applyBorder="1"/>
    <xf numFmtId="166" fontId="17" fillId="0" borderId="32" xfId="2" applyNumberFormat="1" applyBorder="1"/>
    <xf numFmtId="166" fontId="19" fillId="4" borderId="33" xfId="2" applyNumberFormat="1" applyFont="1" applyFill="1" applyBorder="1"/>
    <xf numFmtId="166" fontId="19" fillId="4" borderId="26" xfId="2" applyNumberFormat="1" applyFont="1" applyFill="1" applyBorder="1"/>
    <xf numFmtId="0" fontId="19" fillId="4" borderId="25" xfId="2" applyFont="1" applyFill="1" applyBorder="1"/>
    <xf numFmtId="0" fontId="17" fillId="0" borderId="34" xfId="2" applyBorder="1"/>
    <xf numFmtId="166" fontId="17" fillId="0" borderId="31" xfId="2" applyNumberFormat="1" applyBorder="1"/>
    <xf numFmtId="0" fontId="9" fillId="0" borderId="0" xfId="0" applyFont="1" applyFill="1" applyAlignment="1">
      <alignment horizontal="left" vertical="center" readingOrder="1"/>
    </xf>
    <xf numFmtId="0" fontId="20" fillId="0" borderId="0" xfId="0" applyFont="1" applyFill="1" applyAlignment="1">
      <alignment vertical="center" readingOrder="1"/>
    </xf>
    <xf numFmtId="0" fontId="2" fillId="0" borderId="0" xfId="0" applyFont="1" applyFill="1" applyAlignment="1">
      <alignment horizontal="left" vertical="center" readingOrder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readingOrder="1"/>
    </xf>
    <xf numFmtId="0" fontId="13" fillId="0" borderId="0" xfId="0" applyFont="1" applyFill="1" applyAlignment="1">
      <alignment horizontal="center" vertical="center" readingOrder="1"/>
    </xf>
    <xf numFmtId="0" fontId="15" fillId="0" borderId="0" xfId="0" applyFont="1" applyFill="1" applyAlignment="1">
      <alignment horizontal="left" vertical="center" readingOrder="1"/>
    </xf>
    <xf numFmtId="0" fontId="16" fillId="0" borderId="0" xfId="0" applyFont="1" applyFill="1" applyAlignment="1">
      <alignment horizontal="center" vertical="center" wrapText="1" readingOrder="1"/>
    </xf>
    <xf numFmtId="0" fontId="13" fillId="0" borderId="0" xfId="0" applyFont="1" applyFill="1" applyAlignment="1">
      <alignment horizontal="center" vertical="center"/>
    </xf>
    <xf numFmtId="9" fontId="13" fillId="0" borderId="0" xfId="3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 readingOrder="1"/>
    </xf>
    <xf numFmtId="0" fontId="9" fillId="0" borderId="0" xfId="0" applyFont="1" applyFill="1" applyAlignment="1">
      <alignment vertical="center" wrapText="1" readingOrder="1"/>
    </xf>
    <xf numFmtId="0" fontId="2" fillId="0" borderId="34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readingOrder="1"/>
    </xf>
    <xf numFmtId="0" fontId="2" fillId="0" borderId="40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 indent="1"/>
    </xf>
    <xf numFmtId="0" fontId="2" fillId="0" borderId="36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2" fillId="0" borderId="42" xfId="0" applyFont="1" applyFill="1" applyBorder="1" applyAlignment="1">
      <alignment horizontal="left" vertical="center" indent="1"/>
    </xf>
    <xf numFmtId="0" fontId="2" fillId="0" borderId="43" xfId="0" applyFont="1" applyFill="1" applyBorder="1" applyAlignment="1">
      <alignment horizontal="left" vertical="center" indent="1"/>
    </xf>
    <xf numFmtId="0" fontId="2" fillId="0" borderId="44" xfId="0" applyFont="1" applyFill="1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readingOrder="1"/>
    </xf>
    <xf numFmtId="49" fontId="3" fillId="0" borderId="0" xfId="0" applyNumberFormat="1" applyFont="1" applyFill="1" applyAlignment="1">
      <alignment horizontal="center" vertical="center" readingOrder="1"/>
    </xf>
    <xf numFmtId="0" fontId="5" fillId="2" borderId="37" xfId="0" applyFont="1" applyFill="1" applyBorder="1" applyAlignment="1">
      <alignment horizontal="center" vertical="center" readingOrder="1"/>
    </xf>
    <xf numFmtId="0" fontId="5" fillId="2" borderId="38" xfId="0" applyFont="1" applyFill="1" applyBorder="1" applyAlignment="1">
      <alignment horizontal="center" vertical="center" readingOrder="1"/>
    </xf>
    <xf numFmtId="0" fontId="5" fillId="2" borderId="39" xfId="0" applyFont="1" applyFill="1" applyBorder="1" applyAlignment="1">
      <alignment horizontal="center" vertical="center" readingOrder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166" fontId="17" fillId="0" borderId="17" xfId="2" applyNumberFormat="1" applyBorder="1" applyAlignment="1">
      <alignment horizontal="center"/>
    </xf>
    <xf numFmtId="166" fontId="19" fillId="4" borderId="4" xfId="2" applyNumberFormat="1" applyFont="1" applyFill="1" applyBorder="1" applyAlignment="1">
      <alignment horizontal="center" wrapText="1"/>
    </xf>
    <xf numFmtId="0" fontId="19" fillId="4" borderId="4" xfId="2" applyFont="1" applyFill="1" applyBorder="1" applyAlignment="1">
      <alignment horizontal="center" wrapText="1"/>
    </xf>
    <xf numFmtId="166" fontId="17" fillId="0" borderId="2" xfId="2" applyNumberFormat="1" applyBorder="1" applyAlignment="1">
      <alignment horizontal="center"/>
    </xf>
    <xf numFmtId="166" fontId="19" fillId="4" borderId="2" xfId="4" applyNumberFormat="1" applyFont="1" applyFill="1" applyBorder="1" applyAlignment="1">
      <alignment horizontal="center"/>
    </xf>
    <xf numFmtId="166" fontId="19" fillId="4" borderId="6" xfId="2" applyNumberFormat="1" applyFont="1" applyFill="1" applyBorder="1" applyAlignment="1">
      <alignment horizontal="center"/>
    </xf>
    <xf numFmtId="166" fontId="17" fillId="0" borderId="34" xfId="4" applyNumberFormat="1" applyFont="1" applyBorder="1" applyAlignment="1">
      <alignment horizontal="center"/>
    </xf>
    <xf numFmtId="166" fontId="17" fillId="0" borderId="36" xfId="4" applyNumberFormat="1" applyFont="1" applyBorder="1" applyAlignment="1">
      <alignment horizontal="center"/>
    </xf>
    <xf numFmtId="166" fontId="19" fillId="4" borderId="1" xfId="2" applyNumberFormat="1" applyFont="1" applyFill="1" applyBorder="1" applyAlignment="1">
      <alignment horizontal="center"/>
    </xf>
    <xf numFmtId="166" fontId="17" fillId="4" borderId="4" xfId="4" applyNumberFormat="1" applyFont="1" applyFill="1" applyBorder="1" applyAlignment="1">
      <alignment horizontal="center"/>
    </xf>
    <xf numFmtId="166" fontId="17" fillId="0" borderId="34" xfId="2" applyNumberFormat="1" applyBorder="1" applyAlignment="1">
      <alignment horizontal="center"/>
    </xf>
    <xf numFmtId="166" fontId="17" fillId="0" borderId="36" xfId="2" applyNumberFormat="1" applyBorder="1" applyAlignment="1">
      <alignment horizontal="center"/>
    </xf>
    <xf numFmtId="166" fontId="17" fillId="4" borderId="2" xfId="2" applyNumberFormat="1" applyFill="1" applyBorder="1" applyAlignment="1">
      <alignment horizontal="center"/>
    </xf>
    <xf numFmtId="166" fontId="19" fillId="4" borderId="1" xfId="4" applyNumberFormat="1" applyFont="1" applyFill="1" applyBorder="1" applyAlignment="1">
      <alignment horizontal="center"/>
    </xf>
    <xf numFmtId="166" fontId="17" fillId="0" borderId="34" xfId="4" applyNumberFormat="1" applyFont="1" applyFill="1" applyBorder="1" applyAlignment="1">
      <alignment horizontal="center"/>
    </xf>
    <xf numFmtId="166" fontId="17" fillId="0" borderId="36" xfId="4" applyNumberFormat="1" applyFont="1" applyFill="1" applyBorder="1" applyAlignment="1">
      <alignment horizontal="center"/>
    </xf>
    <xf numFmtId="0" fontId="19" fillId="4" borderId="6" xfId="2" applyFont="1" applyFill="1" applyBorder="1" applyAlignment="1">
      <alignment horizontal="center"/>
    </xf>
    <xf numFmtId="166" fontId="19" fillId="4" borderId="4" xfId="4" applyNumberFormat="1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19" fillId="4" borderId="45" xfId="2" applyFont="1" applyFill="1" applyBorder="1" applyAlignment="1">
      <alignment horizontal="center" vertical="center" wrapText="1"/>
    </xf>
    <xf numFmtId="0" fontId="19" fillId="4" borderId="31" xfId="2" applyFont="1" applyFill="1" applyBorder="1" applyAlignment="1">
      <alignment horizontal="center" vertical="center" wrapText="1"/>
    </xf>
    <xf numFmtId="0" fontId="19" fillId="4" borderId="46" xfId="2" applyFont="1" applyFill="1" applyBorder="1" applyAlignment="1">
      <alignment horizontal="center" vertical="center"/>
    </xf>
    <xf numFmtId="0" fontId="19" fillId="4" borderId="51" xfId="2" applyFont="1" applyFill="1" applyBorder="1" applyAlignment="1">
      <alignment horizontal="center" vertical="center"/>
    </xf>
    <xf numFmtId="0" fontId="19" fillId="4" borderId="48" xfId="2" applyFont="1" applyFill="1" applyBorder="1" applyAlignment="1">
      <alignment horizontal="center"/>
    </xf>
    <xf numFmtId="0" fontId="19" fillId="4" borderId="49" xfId="2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19" fillId="4" borderId="47" xfId="2" applyFont="1" applyFill="1" applyBorder="1" applyAlignment="1">
      <alignment horizontal="center" vertical="center"/>
    </xf>
    <xf numFmtId="0" fontId="19" fillId="4" borderId="46" xfId="2" applyFont="1" applyFill="1" applyBorder="1" applyAlignment="1">
      <alignment horizontal="center" vertical="center" wrapText="1"/>
    </xf>
    <xf numFmtId="0" fontId="19" fillId="4" borderId="47" xfId="2" applyFont="1" applyFill="1" applyBorder="1" applyAlignment="1">
      <alignment horizontal="center" vertical="center" wrapText="1"/>
    </xf>
    <xf numFmtId="0" fontId="19" fillId="4" borderId="50" xfId="2" applyFont="1" applyFill="1" applyBorder="1" applyAlignment="1">
      <alignment horizontal="center" vertical="center" wrapText="1"/>
    </xf>
    <xf numFmtId="0" fontId="19" fillId="4" borderId="51" xfId="2" applyFont="1" applyFill="1" applyBorder="1" applyAlignment="1">
      <alignment horizontal="center" vertical="center" wrapText="1"/>
    </xf>
    <xf numFmtId="0" fontId="19" fillId="4" borderId="52" xfId="2" applyFont="1" applyFill="1" applyBorder="1" applyAlignment="1">
      <alignment horizontal="center" vertical="center" wrapText="1"/>
    </xf>
    <xf numFmtId="0" fontId="19" fillId="4" borderId="53" xfId="2" applyFont="1" applyFill="1" applyBorder="1" applyAlignment="1">
      <alignment horizontal="center" vertical="center" wrapText="1"/>
    </xf>
  </cellXfs>
  <cellStyles count="6">
    <cellStyle name="Comma" xfId="4" builtinId="3"/>
    <cellStyle name="Normal" xfId="0" builtinId="0"/>
    <cellStyle name="Normal 2" xfId="1"/>
    <cellStyle name="Normal_BALANÇO ORÇAMENTÁRIO MCASP - Nov15" xfId="2"/>
    <cellStyle name="Percent" xfId="3" builtinId="5"/>
    <cellStyle name="Separador de milhares 2" xfId="5"/>
  </cellStyles>
  <dxfs count="1">
    <dxf>
      <fill>
        <patternFill>
          <bgColor indexed="13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28575</xdr:colOff>
      <xdr:row>3</xdr:row>
      <xdr:rowOff>123825</xdr:rowOff>
    </xdr:to>
    <xdr:pic>
      <xdr:nvPicPr>
        <xdr:cNvPr id="1025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100"/>
          <a:ext cx="647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049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100"/>
          <a:ext cx="8572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307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7625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835717/Documents/FUMCAD/BALAN&#199;OS%20DO%20FUMCAD/2017/7.Julho/_Balan&#231;os%20de%20Julho%202017%20-%20Planilha%20Nov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"/>
      <sheetName val="B.F. 05"/>
      <sheetName val="B.F. 00"/>
      <sheetName val="Balanço Financeiro "/>
      <sheetName val="Balanço Orçamentário MCASP"/>
      <sheetName val="Anexos do BO"/>
      <sheetName val="B.F. Modelo DEZEMBRO"/>
    </sheetNames>
    <sheetDataSet>
      <sheetData sheetId="0">
        <row r="1">
          <cell r="A1" t="str">
            <v>RELATÓRIOS</v>
          </cell>
          <cell r="C1">
            <v>42736</v>
          </cell>
          <cell r="D1">
            <v>42767</v>
          </cell>
          <cell r="E1">
            <v>42795</v>
          </cell>
          <cell r="F1">
            <v>42826</v>
          </cell>
          <cell r="G1">
            <v>42856</v>
          </cell>
          <cell r="H1">
            <v>42887</v>
          </cell>
          <cell r="I1">
            <v>42917</v>
          </cell>
          <cell r="J1">
            <v>42948</v>
          </cell>
          <cell r="K1">
            <v>42979</v>
          </cell>
          <cell r="L1">
            <v>43009</v>
          </cell>
          <cell r="M1">
            <v>43040</v>
          </cell>
          <cell r="N1">
            <v>43070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1.3.2.1.73.51.46.00 - FUMCAD</v>
          </cell>
          <cell r="B4" t="str">
            <v>Receita Prevista</v>
          </cell>
          <cell r="C4">
            <v>12665507</v>
          </cell>
          <cell r="D4">
            <v>12665507</v>
          </cell>
          <cell r="E4">
            <v>12665507</v>
          </cell>
          <cell r="F4">
            <v>12665507</v>
          </cell>
          <cell r="G4">
            <v>12665507</v>
          </cell>
          <cell r="H4">
            <v>12665507</v>
          </cell>
          <cell r="I4">
            <v>12665507</v>
          </cell>
          <cell r="J4">
            <v>12665507</v>
          </cell>
          <cell r="K4">
            <v>12665507</v>
          </cell>
          <cell r="L4">
            <v>12665507</v>
          </cell>
          <cell r="M4">
            <v>12665507</v>
          </cell>
          <cell r="N4">
            <v>12665507</v>
          </cell>
        </row>
        <row r="5">
          <cell r="B5" t="str">
            <v>Realizada no Mês</v>
          </cell>
          <cell r="C5">
            <v>3193371.21</v>
          </cell>
          <cell r="D5">
            <v>2548003.0099999998</v>
          </cell>
          <cell r="E5">
            <v>2891338.98</v>
          </cell>
          <cell r="F5">
            <v>2198708.58</v>
          </cell>
          <cell r="G5">
            <v>2635863.38</v>
          </cell>
          <cell r="H5">
            <v>2368570.59</v>
          </cell>
          <cell r="I5">
            <v>2285110.86</v>
          </cell>
        </row>
        <row r="6">
          <cell r="B6" t="str">
            <v>Realizada no Mês - CONCILIADO</v>
          </cell>
          <cell r="C6">
            <v>3193371.21</v>
          </cell>
          <cell r="D6">
            <v>2548003.0099999998</v>
          </cell>
          <cell r="E6">
            <v>2891338.98</v>
          </cell>
          <cell r="F6">
            <v>2198708.58</v>
          </cell>
          <cell r="G6">
            <v>2635863.38</v>
          </cell>
          <cell r="H6">
            <v>2368570.59</v>
          </cell>
          <cell r="I6">
            <v>2285110.86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3193371.21</v>
          </cell>
          <cell r="D8">
            <v>5741374.2199999997</v>
          </cell>
          <cell r="E8">
            <v>8632713.1999999993</v>
          </cell>
          <cell r="F8">
            <v>10831421.779999999</v>
          </cell>
          <cell r="G8">
            <v>13467285.16</v>
          </cell>
          <cell r="H8">
            <v>15835855.75</v>
          </cell>
          <cell r="I8">
            <v>18120966.609999999</v>
          </cell>
        </row>
        <row r="9">
          <cell r="B9" t="str">
            <v>Realizada até o Mês - CONCILIADO</v>
          </cell>
          <cell r="C9">
            <v>3193371.21</v>
          </cell>
          <cell r="D9">
            <v>5741374.2199999997</v>
          </cell>
          <cell r="E9">
            <v>8632713.1999999993</v>
          </cell>
          <cell r="F9">
            <v>10831421.779999999</v>
          </cell>
          <cell r="G9">
            <v>13467285.16</v>
          </cell>
          <cell r="H9">
            <v>15835855.75</v>
          </cell>
          <cell r="I9">
            <v>18120966.609999999</v>
          </cell>
          <cell r="J9">
            <v>18120966.609999999</v>
          </cell>
          <cell r="K9">
            <v>18120966.609999999</v>
          </cell>
          <cell r="L9">
            <v>18120966.609999999</v>
          </cell>
          <cell r="M9">
            <v>18120966.609999999</v>
          </cell>
          <cell r="N9">
            <v>18120966.609999999</v>
          </cell>
        </row>
        <row r="10">
          <cell r="B10" t="str">
            <v>TOTAL</v>
          </cell>
          <cell r="C10">
            <v>3193371.21</v>
          </cell>
          <cell r="D10">
            <v>5741374.2199999997</v>
          </cell>
          <cell r="E10">
            <v>8632713.1999999993</v>
          </cell>
          <cell r="F10">
            <v>10831421.779999999</v>
          </cell>
          <cell r="G10">
            <v>13467285.16</v>
          </cell>
          <cell r="H10">
            <v>15835855.75</v>
          </cell>
          <cell r="I10">
            <v>18120966.609999999</v>
          </cell>
          <cell r="J10">
            <v>18120966.609999999</v>
          </cell>
          <cell r="K10">
            <v>18120966.609999999</v>
          </cell>
          <cell r="L10">
            <v>18120966.609999999</v>
          </cell>
          <cell r="M10">
            <v>18120966.609999999</v>
          </cell>
          <cell r="N10">
            <v>18120966.609999999</v>
          </cell>
        </row>
        <row r="12">
          <cell r="A12" t="str">
            <v>1.7.5.0.51.00.00.00 - FUMCAD - Imposto de Renda</v>
          </cell>
          <cell r="B12" t="str">
            <v>Receita Prevista</v>
          </cell>
          <cell r="C12">
            <v>96000000</v>
          </cell>
          <cell r="D12">
            <v>96000000</v>
          </cell>
          <cell r="E12">
            <v>96000000</v>
          </cell>
          <cell r="F12">
            <v>96000000</v>
          </cell>
          <cell r="G12">
            <v>96000000</v>
          </cell>
          <cell r="H12">
            <v>96000000</v>
          </cell>
          <cell r="I12">
            <v>96000000</v>
          </cell>
          <cell r="J12">
            <v>96000000</v>
          </cell>
          <cell r="K12">
            <v>96000000</v>
          </cell>
          <cell r="L12">
            <v>96000000</v>
          </cell>
          <cell r="M12">
            <v>96000000</v>
          </cell>
          <cell r="N12">
            <v>96000000</v>
          </cell>
        </row>
        <row r="13">
          <cell r="B13" t="str">
            <v>Realizada no Mês</v>
          </cell>
          <cell r="C13">
            <v>26732764.98</v>
          </cell>
          <cell r="D13">
            <v>108156.99</v>
          </cell>
          <cell r="E13">
            <v>1889345.7</v>
          </cell>
          <cell r="F13">
            <v>432577.44</v>
          </cell>
          <cell r="G13">
            <v>748178.96</v>
          </cell>
          <cell r="H13">
            <v>3656134.45</v>
          </cell>
          <cell r="I13">
            <v>4174689.81</v>
          </cell>
        </row>
        <row r="14">
          <cell r="B14" t="str">
            <v>Realizada no Mês - CONCILIADO</v>
          </cell>
          <cell r="C14">
            <v>26732764.98</v>
          </cell>
          <cell r="D14">
            <v>108156.99</v>
          </cell>
          <cell r="E14">
            <v>1889345.7</v>
          </cell>
          <cell r="F14">
            <v>432577.44</v>
          </cell>
          <cell r="G14">
            <v>748178.96</v>
          </cell>
          <cell r="H14">
            <v>3656134.45</v>
          </cell>
          <cell r="I14">
            <v>4174689.81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26732764.98</v>
          </cell>
          <cell r="D16">
            <v>26840921.969999999</v>
          </cell>
          <cell r="E16">
            <v>28730267.670000002</v>
          </cell>
          <cell r="F16">
            <v>29162845.109999999</v>
          </cell>
          <cell r="G16">
            <v>29911024.07</v>
          </cell>
          <cell r="H16">
            <v>33567158.520000003</v>
          </cell>
          <cell r="I16">
            <v>37741848.329999998</v>
          </cell>
        </row>
        <row r="17">
          <cell r="B17" t="str">
            <v>Realizada até o Mês - CONCILIADO</v>
          </cell>
          <cell r="C17">
            <v>26732764.98</v>
          </cell>
          <cell r="D17">
            <v>26840921.969999999</v>
          </cell>
          <cell r="E17">
            <v>28730267.670000002</v>
          </cell>
          <cell r="F17">
            <v>29162845.109999999</v>
          </cell>
          <cell r="G17">
            <v>29911024.07</v>
          </cell>
          <cell r="H17">
            <v>33567158.520000003</v>
          </cell>
          <cell r="I17">
            <v>37741848.329999998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TOTAL</v>
          </cell>
          <cell r="C18">
            <v>26732764.98</v>
          </cell>
          <cell r="D18">
            <v>26840921.969999999</v>
          </cell>
          <cell r="E18">
            <v>28730267.669999998</v>
          </cell>
          <cell r="F18">
            <v>29162845.109999999</v>
          </cell>
          <cell r="G18">
            <v>29911024.07</v>
          </cell>
          <cell r="H18">
            <v>33567158.520000003</v>
          </cell>
          <cell r="I18">
            <v>37741848.330000006</v>
          </cell>
          <cell r="J18">
            <v>37741848.330000006</v>
          </cell>
          <cell r="K18">
            <v>37741848.330000006</v>
          </cell>
          <cell r="L18">
            <v>37741848.330000006</v>
          </cell>
          <cell r="M18">
            <v>37741848.330000006</v>
          </cell>
          <cell r="N18">
            <v>37741848.330000006</v>
          </cell>
        </row>
        <row r="20">
          <cell r="A20" t="str">
            <v>1.9.2.2.99.51.00.00 - FUMCAD - Outras Restituições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52708.47</v>
          </cell>
          <cell r="D21">
            <v>191697.64</v>
          </cell>
          <cell r="E21">
            <v>32420.54</v>
          </cell>
          <cell r="F21">
            <v>710916.2</v>
          </cell>
          <cell r="G21">
            <v>205889.7</v>
          </cell>
          <cell r="H21">
            <v>27953.77</v>
          </cell>
          <cell r="I21">
            <v>278205.59999999998</v>
          </cell>
        </row>
        <row r="22">
          <cell r="B22" t="str">
            <v>Realizada no Mês - CONCILIADO</v>
          </cell>
          <cell r="C22">
            <v>52708.47</v>
          </cell>
          <cell r="D22">
            <v>191697.64</v>
          </cell>
          <cell r="E22">
            <v>32420.54</v>
          </cell>
          <cell r="F22">
            <v>710916.2</v>
          </cell>
          <cell r="G22">
            <v>205889.7</v>
          </cell>
          <cell r="H22">
            <v>27953.77</v>
          </cell>
          <cell r="I22">
            <v>278205.59999999998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52708.47</v>
          </cell>
          <cell r="D24">
            <v>244406.11</v>
          </cell>
          <cell r="E24">
            <v>276826.65000000002</v>
          </cell>
          <cell r="F24">
            <v>987742.85</v>
          </cell>
          <cell r="G24">
            <v>1193632.55</v>
          </cell>
          <cell r="H24">
            <v>1221586.32</v>
          </cell>
          <cell r="I24">
            <v>1499791.92</v>
          </cell>
        </row>
        <row r="25">
          <cell r="B25" t="str">
            <v>Realizada até o Mês - CONCILIADO</v>
          </cell>
          <cell r="C25">
            <v>52708.47</v>
          </cell>
          <cell r="D25">
            <v>244406.11</v>
          </cell>
          <cell r="E25">
            <v>276826.65000000002</v>
          </cell>
          <cell r="F25">
            <v>987742.85</v>
          </cell>
          <cell r="G25">
            <v>1193632.55</v>
          </cell>
          <cell r="H25">
            <v>1221586.32</v>
          </cell>
          <cell r="I25">
            <v>1499791.92</v>
          </cell>
        </row>
        <row r="26">
          <cell r="B26" t="str">
            <v>TOTAL</v>
          </cell>
          <cell r="C26">
            <v>52708.47</v>
          </cell>
          <cell r="D26">
            <v>244406.11000000002</v>
          </cell>
          <cell r="E26">
            <v>276826.65000000002</v>
          </cell>
          <cell r="F26">
            <v>987742.85</v>
          </cell>
          <cell r="G26">
            <v>1193632.55</v>
          </cell>
          <cell r="H26">
            <v>1221586.32</v>
          </cell>
          <cell r="I26">
            <v>1499791.92</v>
          </cell>
          <cell r="J26">
            <v>1499791.92</v>
          </cell>
          <cell r="K26">
            <v>1499791.92</v>
          </cell>
          <cell r="L26">
            <v>1499791.92</v>
          </cell>
          <cell r="M26">
            <v>1499791.92</v>
          </cell>
          <cell r="N26">
            <v>1499791.92</v>
          </cell>
        </row>
        <row r="28">
          <cell r="A28" t="str">
            <v>1.9.9.0.99.03.00.00 - FUMCAD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31839.64</v>
          </cell>
          <cell r="D29">
            <v>52719.46</v>
          </cell>
          <cell r="E29">
            <v>89214.11</v>
          </cell>
          <cell r="F29">
            <v>21645.06</v>
          </cell>
          <cell r="G29">
            <v>185091.44</v>
          </cell>
          <cell r="H29">
            <v>37099.97</v>
          </cell>
          <cell r="I29">
            <v>33956.550000000003</v>
          </cell>
        </row>
        <row r="30">
          <cell r="B30" t="str">
            <v>Realizada no Mês - CONCILIADO</v>
          </cell>
          <cell r="C30">
            <v>31839.64</v>
          </cell>
          <cell r="D30">
            <v>52719.46</v>
          </cell>
          <cell r="E30">
            <v>89214.11</v>
          </cell>
          <cell r="F30">
            <v>21645.06</v>
          </cell>
          <cell r="G30">
            <v>185091.44</v>
          </cell>
          <cell r="H30">
            <v>37099.97</v>
          </cell>
          <cell r="I30">
            <v>33956.550000000003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31839.64</v>
          </cell>
          <cell r="D32">
            <v>84559.1</v>
          </cell>
          <cell r="E32">
            <v>173773.21</v>
          </cell>
          <cell r="F32">
            <v>195418.27</v>
          </cell>
          <cell r="G32">
            <v>380509.71</v>
          </cell>
          <cell r="H32">
            <v>417609.68</v>
          </cell>
          <cell r="I32">
            <v>451566.23</v>
          </cell>
        </row>
        <row r="33">
          <cell r="B33" t="str">
            <v>Realizada até o Mês - CONCILIADO</v>
          </cell>
          <cell r="C33">
            <v>31839.64</v>
          </cell>
          <cell r="D33">
            <v>52719.46</v>
          </cell>
          <cell r="E33">
            <v>89214.11</v>
          </cell>
          <cell r="F33">
            <v>21645.06</v>
          </cell>
          <cell r="G33">
            <v>185091.44</v>
          </cell>
          <cell r="H33">
            <v>37099.97</v>
          </cell>
          <cell r="I33">
            <v>33956.550000000003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31839.64</v>
          </cell>
          <cell r="D34">
            <v>84559.1</v>
          </cell>
          <cell r="E34">
            <v>173773.21000000002</v>
          </cell>
          <cell r="F34">
            <v>195418.27000000002</v>
          </cell>
          <cell r="G34">
            <v>380509.71</v>
          </cell>
          <cell r="H34">
            <v>417609.68000000005</v>
          </cell>
          <cell r="I34">
            <v>451566.23000000004</v>
          </cell>
          <cell r="J34">
            <v>451566.23000000004</v>
          </cell>
          <cell r="K34">
            <v>451566.23000000004</v>
          </cell>
          <cell r="L34">
            <v>451566.23000000004</v>
          </cell>
          <cell r="M34">
            <v>451566.23000000004</v>
          </cell>
          <cell r="N34">
            <v>451566.23000000004</v>
          </cell>
        </row>
        <row r="35">
          <cell r="B35" t="str">
            <v>TOTAL GERAL</v>
          </cell>
          <cell r="C35">
            <v>30010684.300000001</v>
          </cell>
          <cell r="D35">
            <v>32911261.399999999</v>
          </cell>
          <cell r="E35">
            <v>37813580.729999997</v>
          </cell>
          <cell r="F35">
            <v>41177428.010000005</v>
          </cell>
          <cell r="G35">
            <v>44952451.490000002</v>
          </cell>
          <cell r="H35">
            <v>51042210.270000003</v>
          </cell>
          <cell r="I35">
            <v>57814173.090000004</v>
          </cell>
          <cell r="J35">
            <v>57814173.090000004</v>
          </cell>
          <cell r="K35">
            <v>57814173.090000004</v>
          </cell>
          <cell r="L35">
            <v>57814173.090000004</v>
          </cell>
          <cell r="M35">
            <v>57814173.090000004</v>
          </cell>
          <cell r="N35">
            <v>57814173.090000004</v>
          </cell>
        </row>
        <row r="37">
          <cell r="A37" t="str">
            <v>FONTE 08 - Tesouro Municipal - Recursos Vinculados</v>
          </cell>
        </row>
        <row r="38">
          <cell r="A38" t="str">
            <v>1.9.1.9.32.20.02.00 - FUMCAD - Multas Decorrentes De Sentenças Judiciais</v>
          </cell>
          <cell r="B38" t="str">
            <v>Receita Prevista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Realizada no Mês</v>
          </cell>
          <cell r="C39">
            <v>100</v>
          </cell>
          <cell r="D39">
            <v>100</v>
          </cell>
          <cell r="E39">
            <v>100</v>
          </cell>
          <cell r="F39">
            <v>100</v>
          </cell>
          <cell r="G39">
            <v>100</v>
          </cell>
          <cell r="H39">
            <v>100</v>
          </cell>
          <cell r="I39">
            <v>7180.8</v>
          </cell>
        </row>
        <row r="40">
          <cell r="B40" t="str">
            <v>Realizada no Mês - CONCILIADO</v>
          </cell>
          <cell r="C40">
            <v>100</v>
          </cell>
          <cell r="D40">
            <v>100</v>
          </cell>
          <cell r="E40">
            <v>100</v>
          </cell>
          <cell r="F40">
            <v>100</v>
          </cell>
          <cell r="G40">
            <v>100</v>
          </cell>
          <cell r="H40">
            <v>100</v>
          </cell>
          <cell r="I40">
            <v>7180.8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DIFERENÇA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Realizada até o Mês</v>
          </cell>
          <cell r="C42">
            <v>100</v>
          </cell>
          <cell r="D42">
            <v>200</v>
          </cell>
          <cell r="E42">
            <v>300</v>
          </cell>
          <cell r="F42">
            <v>400</v>
          </cell>
          <cell r="G42">
            <v>500</v>
          </cell>
          <cell r="H42">
            <v>600</v>
          </cell>
          <cell r="I42">
            <v>7780.8</v>
          </cell>
        </row>
        <row r="43">
          <cell r="B43" t="str">
            <v>Realizada até o Mês - CONCILIADO</v>
          </cell>
          <cell r="C43">
            <v>100</v>
          </cell>
          <cell r="D43">
            <v>200</v>
          </cell>
          <cell r="E43">
            <v>300</v>
          </cell>
          <cell r="F43">
            <v>400</v>
          </cell>
          <cell r="G43">
            <v>500</v>
          </cell>
          <cell r="H43">
            <v>600</v>
          </cell>
          <cell r="I43">
            <v>7780.8</v>
          </cell>
          <cell r="J43">
            <v>7780.8</v>
          </cell>
          <cell r="K43">
            <v>7780.8</v>
          </cell>
          <cell r="L43">
            <v>7780.8</v>
          </cell>
          <cell r="M43">
            <v>7780.8</v>
          </cell>
          <cell r="N43">
            <v>7780.8</v>
          </cell>
        </row>
        <row r="44">
          <cell r="B44" t="str">
            <v>TOTAL</v>
          </cell>
          <cell r="C44">
            <v>100</v>
          </cell>
          <cell r="D44">
            <v>200</v>
          </cell>
          <cell r="E44">
            <v>300</v>
          </cell>
          <cell r="F44">
            <v>400</v>
          </cell>
          <cell r="G44">
            <v>500</v>
          </cell>
          <cell r="H44">
            <v>600</v>
          </cell>
          <cell r="I44">
            <v>7780.8</v>
          </cell>
          <cell r="J44">
            <v>7780.8</v>
          </cell>
          <cell r="K44">
            <v>7780.8</v>
          </cell>
          <cell r="L44">
            <v>7780.8</v>
          </cell>
          <cell r="M44">
            <v>7780.8</v>
          </cell>
          <cell r="N44">
            <v>7780.8</v>
          </cell>
        </row>
        <row r="46">
          <cell r="A46" t="str">
            <v>RAZÃO DE ARRECADAÇÃO</v>
          </cell>
        </row>
        <row r="47">
          <cell r="A47" t="str">
            <v>1.3.2.1.73.51.46.00</v>
          </cell>
          <cell r="B47" t="str">
            <v>(540) - FUMCAD</v>
          </cell>
          <cell r="C47">
            <v>3193371.21</v>
          </cell>
          <cell r="D47">
            <v>2548003.0099999998</v>
          </cell>
          <cell r="E47">
            <v>2891338.98</v>
          </cell>
          <cell r="F47">
            <v>2198708.58</v>
          </cell>
          <cell r="G47">
            <v>2635863.38</v>
          </cell>
          <cell r="H47">
            <v>2368570.59</v>
          </cell>
          <cell r="I47">
            <v>2285110.86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Valores Indevidos (-)</v>
          </cell>
          <cell r="C48">
            <v>340171.13</v>
          </cell>
          <cell r="D48">
            <v>275752.03999999998</v>
          </cell>
          <cell r="E48">
            <v>319833.27</v>
          </cell>
          <cell r="F48">
            <v>238669.04</v>
          </cell>
          <cell r="G48">
            <v>285787.87</v>
          </cell>
          <cell r="H48">
            <v>260449.47</v>
          </cell>
          <cell r="I48">
            <v>247440.53</v>
          </cell>
        </row>
        <row r="49">
          <cell r="A49" t="str">
            <v>1.7.5.0.51.00.00.00</v>
          </cell>
          <cell r="B49" t="str">
            <v>(548) - FUMCAD - Imposto de Renda</v>
          </cell>
          <cell r="C49">
            <v>26732764.98</v>
          </cell>
          <cell r="D49">
            <v>108156.99</v>
          </cell>
          <cell r="E49">
            <v>1889345.7</v>
          </cell>
          <cell r="F49">
            <v>432577.44</v>
          </cell>
          <cell r="G49">
            <v>748178.96</v>
          </cell>
          <cell r="H49">
            <v>3656134.45</v>
          </cell>
          <cell r="I49">
            <v>4174689.81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Valores Indevidos (-)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1.9.2.2.99.51.00.00</v>
          </cell>
          <cell r="B51" t="str">
            <v>(22200) - FUMCAD - Outras Restit.</v>
          </cell>
          <cell r="C51">
            <v>52708.47</v>
          </cell>
          <cell r="D51">
            <v>191697.64</v>
          </cell>
          <cell r="E51">
            <v>32420.54</v>
          </cell>
          <cell r="F51">
            <v>710916.2</v>
          </cell>
          <cell r="G51">
            <v>205889.7</v>
          </cell>
          <cell r="H51">
            <v>27953.77</v>
          </cell>
          <cell r="I51">
            <v>278205.59999999998</v>
          </cell>
        </row>
        <row r="52">
          <cell r="A52" t="str">
            <v>1.9.9.0.99.03.00.00</v>
          </cell>
          <cell r="B52" t="str">
            <v>(552) FUMCAD</v>
          </cell>
          <cell r="C52">
            <v>31839.64</v>
          </cell>
          <cell r="D52">
            <v>52719.46</v>
          </cell>
          <cell r="E52">
            <v>89214.11</v>
          </cell>
          <cell r="F52">
            <v>21645.06</v>
          </cell>
          <cell r="G52">
            <v>185091.44</v>
          </cell>
          <cell r="H52">
            <v>37099.97</v>
          </cell>
          <cell r="I52">
            <v>33956.550000000003</v>
          </cell>
        </row>
        <row r="53">
          <cell r="A53" t="str">
            <v>1.9.1.9.32.20.02.00</v>
          </cell>
          <cell r="B53" t="str">
            <v>(23239) - FUMCAD - Multas Judiciais</v>
          </cell>
          <cell r="C53">
            <v>100</v>
          </cell>
          <cell r="D53">
            <v>100</v>
          </cell>
          <cell r="E53">
            <v>100</v>
          </cell>
          <cell r="F53">
            <v>100</v>
          </cell>
          <cell r="G53">
            <v>100</v>
          </cell>
          <cell r="H53">
            <v>100</v>
          </cell>
          <cell r="I53">
            <v>7180.8</v>
          </cell>
        </row>
        <row r="54">
          <cell r="B54" t="str">
            <v>TOTAL</v>
          </cell>
          <cell r="C54">
            <v>30010784.300000001</v>
          </cell>
          <cell r="D54">
            <v>2900677.1</v>
          </cell>
          <cell r="E54">
            <v>4902419.33</v>
          </cell>
          <cell r="F54">
            <v>3363947.28</v>
          </cell>
          <cell r="G54">
            <v>3775123.48</v>
          </cell>
          <cell r="H54">
            <v>6089858.7799999993</v>
          </cell>
          <cell r="I54">
            <v>6779143.6199999992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6">
          <cell r="A56" t="str">
            <v>RAZÃO DE DISPONÍVEIS</v>
          </cell>
        </row>
        <row r="57">
          <cell r="A57" t="str">
            <v>Conta Corrente</v>
          </cell>
          <cell r="B57" t="str">
            <v>Saldo Inicial</v>
          </cell>
        </row>
        <row r="58">
          <cell r="A58" t="str">
            <v>Cód. 100738 - 8946-X</v>
          </cell>
          <cell r="B58">
            <v>1613</v>
          </cell>
          <cell r="C58">
            <v>1613</v>
          </cell>
          <cell r="D58">
            <v>1613</v>
          </cell>
          <cell r="E58">
            <v>2113</v>
          </cell>
          <cell r="F58">
            <v>1629</v>
          </cell>
          <cell r="G58">
            <v>1645</v>
          </cell>
          <cell r="H58">
            <v>1629</v>
          </cell>
          <cell r="I58">
            <v>1629</v>
          </cell>
        </row>
        <row r="59">
          <cell r="A59" t="str">
            <v>Cód. 100738 - Aplicação</v>
          </cell>
          <cell r="B59">
            <v>256769039.41999999</v>
          </cell>
          <cell r="C59">
            <v>259546022.11000001</v>
          </cell>
          <cell r="D59">
            <v>253883262.63999999</v>
          </cell>
          <cell r="E59">
            <v>238419224.08000001</v>
          </cell>
          <cell r="F59">
            <v>253996551.87</v>
          </cell>
          <cell r="G59">
            <v>253797793.47999999</v>
          </cell>
          <cell r="H59">
            <v>252467863.08000001</v>
          </cell>
          <cell r="I59">
            <v>256654498.06</v>
          </cell>
        </row>
        <row r="60">
          <cell r="A60" t="str">
            <v>Cód. 100071 - 5738-X</v>
          </cell>
          <cell r="B60">
            <v>32</v>
          </cell>
          <cell r="C60">
            <v>32</v>
          </cell>
          <cell r="D60">
            <v>32</v>
          </cell>
          <cell r="E60">
            <v>32</v>
          </cell>
          <cell r="F60">
            <v>32</v>
          </cell>
          <cell r="G60">
            <v>32</v>
          </cell>
          <cell r="H60">
            <v>32</v>
          </cell>
          <cell r="I60">
            <v>32</v>
          </cell>
        </row>
        <row r="61">
          <cell r="A61" t="str">
            <v>Cód. 100071 - Aplicação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Cód. 100072 - 5737-1</v>
          </cell>
          <cell r="B62">
            <v>0</v>
          </cell>
          <cell r="C62">
            <v>0</v>
          </cell>
          <cell r="D62">
            <v>227.05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Ajuste - Desvinculação de Receita 2017</v>
          </cell>
          <cell r="B63">
            <v>-5158455.99</v>
          </cell>
          <cell r="C63">
            <v>-5158455.99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-15480496.119999999</v>
          </cell>
        </row>
        <row r="64">
          <cell r="A64" t="str">
            <v>Cód. 100991 - 18114-X</v>
          </cell>
          <cell r="B64">
            <v>6203021.2000000002</v>
          </cell>
          <cell r="C64">
            <v>13007328.59</v>
          </cell>
          <cell r="D64">
            <v>13035688.039999999</v>
          </cell>
          <cell r="E64">
            <v>13158912.949999999</v>
          </cell>
          <cell r="F64">
            <v>7859.94</v>
          </cell>
          <cell r="G64">
            <v>0</v>
          </cell>
          <cell r="H64">
            <v>0</v>
          </cell>
          <cell r="I64">
            <v>1121.8599999999999</v>
          </cell>
        </row>
        <row r="65">
          <cell r="A65" t="str">
            <v>TOTAL</v>
          </cell>
          <cell r="B65">
            <v>257815249.62999997</v>
          </cell>
          <cell r="C65">
            <v>267396539.71000001</v>
          </cell>
          <cell r="D65">
            <v>266920822.72999999</v>
          </cell>
          <cell r="E65">
            <v>251580282.03</v>
          </cell>
          <cell r="F65">
            <v>254006072.81</v>
          </cell>
          <cell r="G65">
            <v>253799470.47999999</v>
          </cell>
          <cell r="H65">
            <v>252469524.08000001</v>
          </cell>
          <cell r="I65">
            <v>241176784.80000001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7">
          <cell r="A67" t="str">
            <v>ACOMPANHAMENTO DE EXECUÇÃO ORÇAMENTÁRIA</v>
          </cell>
        </row>
        <row r="68">
          <cell r="A68" t="str">
            <v>POR FONTE RECURSO</v>
          </cell>
        </row>
        <row r="69">
          <cell r="A69" t="str">
            <v>FONTE 05</v>
          </cell>
          <cell r="B69" t="str">
            <v>Empenhado Até o Mês</v>
          </cell>
          <cell r="C69">
            <v>21505977.050000001</v>
          </cell>
          <cell r="D69">
            <v>53404935.769999996</v>
          </cell>
          <cell r="E69">
            <v>55552236.509999998</v>
          </cell>
          <cell r="F69">
            <v>55982768.590000004</v>
          </cell>
          <cell r="G69">
            <v>59574910.020000003</v>
          </cell>
          <cell r="H69">
            <v>61971804.659999996</v>
          </cell>
          <cell r="I69">
            <v>62383019.579999998</v>
          </cell>
        </row>
        <row r="70">
          <cell r="B70" t="str">
            <v>Pago Até o Mês</v>
          </cell>
          <cell r="C70">
            <v>0</v>
          </cell>
          <cell r="D70">
            <v>2401010.79</v>
          </cell>
          <cell r="E70">
            <v>20649712.949999999</v>
          </cell>
          <cell r="F70">
            <v>23070517.039999999</v>
          </cell>
          <cell r="G70">
            <v>26766963.170000002</v>
          </cell>
          <cell r="H70">
            <v>33494868.16</v>
          </cell>
          <cell r="I70">
            <v>36023684.740000002</v>
          </cell>
        </row>
        <row r="71">
          <cell r="B71" t="str">
            <v>Liquidado A Pagar</v>
          </cell>
          <cell r="C71">
            <v>0</v>
          </cell>
          <cell r="D71">
            <v>7144849.8200000003</v>
          </cell>
          <cell r="E71">
            <v>1258430.8500000001</v>
          </cell>
          <cell r="F71">
            <v>1108047.26</v>
          </cell>
          <cell r="G71">
            <v>2610961.75</v>
          </cell>
          <cell r="H71">
            <v>1543280.4</v>
          </cell>
          <cell r="I71">
            <v>363397.56</v>
          </cell>
        </row>
        <row r="72">
          <cell r="B72" t="str">
            <v xml:space="preserve">     Retenção Extra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B73" t="str">
            <v>NÃO Liquidado A Pagar</v>
          </cell>
          <cell r="C73">
            <v>21505977.050000001</v>
          </cell>
          <cell r="D73">
            <v>43859075.159999996</v>
          </cell>
          <cell r="E73">
            <v>33644092.710000001</v>
          </cell>
          <cell r="F73">
            <v>31804204.289999999</v>
          </cell>
          <cell r="G73">
            <v>30196985.100000001</v>
          </cell>
          <cell r="H73">
            <v>26933656.100000001</v>
          </cell>
          <cell r="I73">
            <v>25995937.280000001</v>
          </cell>
        </row>
        <row r="75">
          <cell r="A75" t="str">
            <v>FONTE 00</v>
          </cell>
          <cell r="B75" t="str">
            <v>Empenhado Até o Mês</v>
          </cell>
          <cell r="C75">
            <v>94150.6</v>
          </cell>
          <cell r="D75">
            <v>132381.14000000001</v>
          </cell>
          <cell r="E75">
            <v>708738.27</v>
          </cell>
          <cell r="F75">
            <v>752147.94</v>
          </cell>
          <cell r="G75">
            <v>1185929.18</v>
          </cell>
          <cell r="H75">
            <v>1205247.18</v>
          </cell>
          <cell r="I75">
            <v>1205247.18</v>
          </cell>
        </row>
        <row r="76">
          <cell r="B76" t="str">
            <v>Pago Até o Mês</v>
          </cell>
          <cell r="C76">
            <v>0</v>
          </cell>
          <cell r="D76">
            <v>0</v>
          </cell>
          <cell r="E76">
            <v>9465.9</v>
          </cell>
          <cell r="F76">
            <v>560422.73</v>
          </cell>
          <cell r="G76">
            <v>621950.98</v>
          </cell>
          <cell r="H76">
            <v>648761.63</v>
          </cell>
          <cell r="I76">
            <v>665610.61</v>
          </cell>
        </row>
        <row r="77">
          <cell r="B77" t="str">
            <v>Liquidado A Pagar</v>
          </cell>
          <cell r="C77">
            <v>0</v>
          </cell>
          <cell r="D77">
            <v>2266.65</v>
          </cell>
          <cell r="E77">
            <v>0</v>
          </cell>
          <cell r="F77">
            <v>0</v>
          </cell>
          <cell r="G77">
            <v>6500</v>
          </cell>
          <cell r="H77">
            <v>14590.39</v>
          </cell>
          <cell r="I77">
            <v>0</v>
          </cell>
        </row>
        <row r="78">
          <cell r="B78" t="str">
            <v xml:space="preserve">     Retenção Extra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214.5</v>
          </cell>
          <cell r="H78">
            <v>481.48</v>
          </cell>
          <cell r="I78">
            <v>0</v>
          </cell>
        </row>
        <row r="79">
          <cell r="B79" t="str">
            <v>NÃO Liquidado A Pagar</v>
          </cell>
          <cell r="C79">
            <v>94150.6</v>
          </cell>
          <cell r="D79">
            <v>130114.49</v>
          </cell>
          <cell r="E79">
            <v>699272.37</v>
          </cell>
          <cell r="F79">
            <v>191725.21</v>
          </cell>
          <cell r="G79">
            <v>557478.19999999995</v>
          </cell>
          <cell r="H79">
            <v>541895.16</v>
          </cell>
          <cell r="I79">
            <v>539636.56999999995</v>
          </cell>
        </row>
        <row r="81">
          <cell r="A81" t="str">
            <v>POR CONTA DE DESPESA</v>
          </cell>
        </row>
        <row r="82">
          <cell r="A82" t="str">
            <v>DESPESA CORRENTE</v>
          </cell>
          <cell r="B82" t="str">
            <v>Orçamento Inicial</v>
          </cell>
          <cell r="C82">
            <v>102150000</v>
          </cell>
          <cell r="D82">
            <v>102150000</v>
          </cell>
          <cell r="E82">
            <v>102150000</v>
          </cell>
          <cell r="F82">
            <v>102150000</v>
          </cell>
          <cell r="G82">
            <v>102150000</v>
          </cell>
          <cell r="H82">
            <v>102150000</v>
          </cell>
          <cell r="I82">
            <v>102150000</v>
          </cell>
        </row>
        <row r="83">
          <cell r="B83" t="str">
            <v>Orçamento Atualizado</v>
          </cell>
          <cell r="C83">
            <v>102150000</v>
          </cell>
          <cell r="D83">
            <v>102150000</v>
          </cell>
          <cell r="E83">
            <v>102150000</v>
          </cell>
          <cell r="F83">
            <v>102150000</v>
          </cell>
          <cell r="G83">
            <v>102150000</v>
          </cell>
          <cell r="H83">
            <v>102150000</v>
          </cell>
          <cell r="I83">
            <v>102150000</v>
          </cell>
        </row>
        <row r="84">
          <cell r="B84" t="str">
            <v>Empenhado Até o Mês</v>
          </cell>
          <cell r="C84">
            <v>21600127.649999999</v>
          </cell>
          <cell r="D84">
            <v>48744109.709999993</v>
          </cell>
          <cell r="E84">
            <v>51359866.770000003</v>
          </cell>
          <cell r="F84">
            <v>53637626.609999999</v>
          </cell>
          <cell r="G84">
            <v>56517427.200000003</v>
          </cell>
          <cell r="H84">
            <v>58796676.090000004</v>
          </cell>
          <cell r="I84">
            <v>59170174.299999997</v>
          </cell>
        </row>
        <row r="85">
          <cell r="B85" t="str">
            <v>Liquidado Até o Mês</v>
          </cell>
          <cell r="C85">
            <v>0</v>
          </cell>
          <cell r="D85">
            <v>9548127.2599999998</v>
          </cell>
          <cell r="E85">
            <v>19339373.359999999</v>
          </cell>
          <cell r="F85">
            <v>22107203.289999999</v>
          </cell>
          <cell r="G85">
            <v>26171403.879999999</v>
          </cell>
          <cell r="H85">
            <v>31660867.629999999</v>
          </cell>
          <cell r="I85">
            <v>32987000.359999999</v>
          </cell>
        </row>
        <row r="86">
          <cell r="B86" t="str">
            <v>Pago Até o Mês</v>
          </cell>
          <cell r="C86">
            <v>0</v>
          </cell>
          <cell r="D86">
            <v>2401010.79</v>
          </cell>
          <cell r="E86">
            <v>18082442.510000002</v>
          </cell>
          <cell r="F86">
            <v>20999156.030000001</v>
          </cell>
          <cell r="G86">
            <v>24610259.93</v>
          </cell>
          <cell r="H86">
            <v>30119095.760000002</v>
          </cell>
          <cell r="I86">
            <v>32632582.800000001</v>
          </cell>
        </row>
        <row r="88">
          <cell r="A88" t="str">
            <v>DESPESA CAPITAL</v>
          </cell>
          <cell r="B88" t="str">
            <v>Orçamento Inicial</v>
          </cell>
          <cell r="C88">
            <v>8715507</v>
          </cell>
          <cell r="D88">
            <v>8715507</v>
          </cell>
          <cell r="E88">
            <v>8715507</v>
          </cell>
          <cell r="F88">
            <v>8715507</v>
          </cell>
          <cell r="G88">
            <v>8715507</v>
          </cell>
          <cell r="H88">
            <v>8715507</v>
          </cell>
          <cell r="I88">
            <v>8715507</v>
          </cell>
        </row>
        <row r="89">
          <cell r="B89" t="str">
            <v>Orçamento Atualizado</v>
          </cell>
          <cell r="C89">
            <v>8715507</v>
          </cell>
          <cell r="D89">
            <v>8715507</v>
          </cell>
          <cell r="E89">
            <v>8715507</v>
          </cell>
          <cell r="F89">
            <v>8715507</v>
          </cell>
          <cell r="G89">
            <v>8715507</v>
          </cell>
          <cell r="H89">
            <v>8715507</v>
          </cell>
          <cell r="I89">
            <v>8715507</v>
          </cell>
        </row>
        <row r="90">
          <cell r="B90" t="str">
            <v>Empenhado Até o Mês</v>
          </cell>
          <cell r="C90">
            <v>0</v>
          </cell>
          <cell r="D90">
            <v>4793207.2</v>
          </cell>
          <cell r="E90">
            <v>4901108.01</v>
          </cell>
          <cell r="F90">
            <v>3097289.92</v>
          </cell>
          <cell r="G90">
            <v>4243412</v>
          </cell>
          <cell r="H90">
            <v>4380375.75</v>
          </cell>
          <cell r="I90">
            <v>4418092.46</v>
          </cell>
        </row>
        <row r="91">
          <cell r="B91" t="str">
            <v>Liquidado Até o Mês</v>
          </cell>
          <cell r="C91">
            <v>0</v>
          </cell>
          <cell r="D91">
            <v>0</v>
          </cell>
          <cell r="E91">
            <v>2578236.34</v>
          </cell>
          <cell r="F91">
            <v>2631783.7400000002</v>
          </cell>
          <cell r="G91">
            <v>3834972.02</v>
          </cell>
          <cell r="H91">
            <v>4040632.95</v>
          </cell>
          <cell r="I91">
            <v>4065692.55</v>
          </cell>
        </row>
        <row r="92">
          <cell r="B92" t="str">
            <v>Pago Até o Mês</v>
          </cell>
          <cell r="C92">
            <v>0</v>
          </cell>
          <cell r="D92">
            <v>0</v>
          </cell>
          <cell r="E92">
            <v>2576736.34</v>
          </cell>
          <cell r="F92">
            <v>2631783.7400000002</v>
          </cell>
          <cell r="G92">
            <v>2778654.22</v>
          </cell>
          <cell r="H92">
            <v>4024534.03</v>
          </cell>
          <cell r="I92">
            <v>4056712.55</v>
          </cell>
        </row>
        <row r="95">
          <cell r="A95" t="str">
            <v>ACOMPANHAMENTO DE EXECUÇÃO ORÇAMENTÁRIA - RESTO A PAGAR</v>
          </cell>
        </row>
        <row r="96">
          <cell r="A96" t="str">
            <v>POR FONTE RECURSO</v>
          </cell>
        </row>
        <row r="97">
          <cell r="A97" t="str">
            <v>PAGAMENTO</v>
          </cell>
          <cell r="B97" t="str">
            <v>Não Processado - FONTE 05</v>
          </cell>
          <cell r="C97">
            <v>11230.43</v>
          </cell>
          <cell r="D97">
            <v>686227.8</v>
          </cell>
          <cell r="E97">
            <v>844095.9</v>
          </cell>
          <cell r="F97">
            <v>844095.9</v>
          </cell>
          <cell r="G97">
            <v>844095.9</v>
          </cell>
          <cell r="H97">
            <v>844095.9</v>
          </cell>
          <cell r="I97">
            <v>844095.9</v>
          </cell>
        </row>
        <row r="98">
          <cell r="B98" t="str">
            <v>Processado - FONTE 05</v>
          </cell>
          <cell r="C98">
            <v>30415.85</v>
          </cell>
          <cell r="D98">
            <v>30415.85</v>
          </cell>
          <cell r="E98">
            <v>30415.85</v>
          </cell>
          <cell r="F98">
            <v>30415.85</v>
          </cell>
          <cell r="G98">
            <v>30415.85</v>
          </cell>
          <cell r="H98">
            <v>30415.85</v>
          </cell>
          <cell r="I98">
            <v>30415.85</v>
          </cell>
        </row>
        <row r="99">
          <cell r="B99" t="str">
            <v>TOTAL</v>
          </cell>
          <cell r="C99">
            <v>41646.28</v>
          </cell>
          <cell r="D99">
            <v>716643.65</v>
          </cell>
          <cell r="E99">
            <v>874511.75</v>
          </cell>
          <cell r="F99">
            <v>874511.75</v>
          </cell>
          <cell r="G99">
            <v>874511.75</v>
          </cell>
          <cell r="H99">
            <v>874511.75</v>
          </cell>
          <cell r="I99">
            <v>874511.75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1">
          <cell r="A101" t="str">
            <v>PAGAMENTO</v>
          </cell>
          <cell r="B101" t="str">
            <v>Não Processado - FONTE 00</v>
          </cell>
          <cell r="C101">
            <v>21435.84</v>
          </cell>
          <cell r="D101">
            <v>32238.32</v>
          </cell>
          <cell r="E101">
            <v>32649.34</v>
          </cell>
          <cell r="F101">
            <v>32649.34</v>
          </cell>
          <cell r="G101">
            <v>32649.34</v>
          </cell>
          <cell r="H101">
            <v>32649.34</v>
          </cell>
          <cell r="I101">
            <v>32649.34</v>
          </cell>
        </row>
        <row r="102">
          <cell r="B102" t="str">
            <v>Processado - FONTE 00</v>
          </cell>
          <cell r="C102">
            <v>77700</v>
          </cell>
          <cell r="D102">
            <v>77700</v>
          </cell>
          <cell r="E102">
            <v>100342.32</v>
          </cell>
          <cell r="F102">
            <v>100342.32</v>
          </cell>
          <cell r="G102">
            <v>100342.32</v>
          </cell>
          <cell r="H102">
            <v>100342.32</v>
          </cell>
          <cell r="I102">
            <v>100342.32</v>
          </cell>
        </row>
        <row r="103">
          <cell r="B103" t="str">
            <v>TOTAL</v>
          </cell>
          <cell r="C103">
            <v>99135.84</v>
          </cell>
          <cell r="D103">
            <v>109938.32</v>
          </cell>
          <cell r="E103">
            <v>132991.66</v>
          </cell>
          <cell r="F103">
            <v>132991.66</v>
          </cell>
          <cell r="G103">
            <v>132991.66</v>
          </cell>
          <cell r="H103">
            <v>132991.66</v>
          </cell>
          <cell r="I103">
            <v>132991.66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5">
          <cell r="A105" t="str">
            <v>POR CONTA DE DESPESA - DESPESA CORRENTE</v>
          </cell>
        </row>
        <row r="106">
          <cell r="A106" t="str">
            <v>SALDO TRANSFERIDO</v>
          </cell>
          <cell r="B106" t="str">
            <v>Não Processado</v>
          </cell>
          <cell r="C106">
            <v>4793384.96</v>
          </cell>
          <cell r="D106">
            <v>4793384.96</v>
          </cell>
          <cell r="E106">
            <v>4793384.96</v>
          </cell>
          <cell r="F106">
            <v>4793384.96</v>
          </cell>
          <cell r="G106">
            <v>4793384.96</v>
          </cell>
          <cell r="H106">
            <v>4793384.96</v>
          </cell>
          <cell r="I106">
            <v>4793384.96</v>
          </cell>
        </row>
        <row r="107">
          <cell r="B107" t="str">
            <v>Processado</v>
          </cell>
          <cell r="C107">
            <v>185350.75</v>
          </cell>
          <cell r="D107">
            <v>185350.75</v>
          </cell>
          <cell r="E107">
            <v>185350.75</v>
          </cell>
          <cell r="F107">
            <v>185350.75</v>
          </cell>
          <cell r="G107">
            <v>185350.75</v>
          </cell>
          <cell r="H107">
            <v>185350.75</v>
          </cell>
          <cell r="I107">
            <v>185350.75</v>
          </cell>
        </row>
        <row r="108">
          <cell r="A108" t="str">
            <v>PAGAMENTO</v>
          </cell>
          <cell r="B108" t="str">
            <v>Não Processado</v>
          </cell>
          <cell r="C108">
            <v>32666.27</v>
          </cell>
          <cell r="D108">
            <v>690659.78</v>
          </cell>
          <cell r="E108">
            <v>848938.9</v>
          </cell>
          <cell r="F108">
            <v>848938.9</v>
          </cell>
          <cell r="G108">
            <v>848938.9</v>
          </cell>
          <cell r="H108">
            <v>848938.9</v>
          </cell>
          <cell r="I108">
            <v>848938.9</v>
          </cell>
        </row>
        <row r="109">
          <cell r="B109" t="str">
            <v>Processado</v>
          </cell>
          <cell r="C109">
            <v>105825.29</v>
          </cell>
          <cell r="D109">
            <v>105825.29</v>
          </cell>
          <cell r="E109">
            <v>128467.61</v>
          </cell>
          <cell r="F109">
            <v>128467.61</v>
          </cell>
          <cell r="G109">
            <v>128467.61</v>
          </cell>
          <cell r="H109">
            <v>128467.61</v>
          </cell>
          <cell r="I109">
            <v>128467.61</v>
          </cell>
        </row>
        <row r="110">
          <cell r="A110" t="str">
            <v>CANCELAMENTO</v>
          </cell>
          <cell r="B110" t="str">
            <v>Não Processado</v>
          </cell>
          <cell r="C110">
            <v>25493.66</v>
          </cell>
          <cell r="D110">
            <v>637887.88</v>
          </cell>
          <cell r="E110">
            <v>3944446.06</v>
          </cell>
          <cell r="F110">
            <v>3944446.06</v>
          </cell>
          <cell r="G110">
            <v>3944446.06</v>
          </cell>
          <cell r="H110">
            <v>3944446.06</v>
          </cell>
          <cell r="I110">
            <v>3944446.06</v>
          </cell>
        </row>
        <row r="111">
          <cell r="B111" t="str">
            <v>Processado</v>
          </cell>
          <cell r="C111">
            <v>55096.38</v>
          </cell>
          <cell r="D111">
            <v>55096.38</v>
          </cell>
          <cell r="E111">
            <v>55096.38</v>
          </cell>
          <cell r="F111">
            <v>55096.38</v>
          </cell>
          <cell r="G111">
            <v>55096.38</v>
          </cell>
          <cell r="H111">
            <v>55096.38</v>
          </cell>
          <cell r="I111">
            <v>55096.38</v>
          </cell>
        </row>
        <row r="112">
          <cell r="A112" t="str">
            <v>POR CONTA DE DESPESA - DESPESA CAPITAL</v>
          </cell>
        </row>
        <row r="113">
          <cell r="A113" t="str">
            <v>SALDO TRANSFERIDO</v>
          </cell>
          <cell r="B113" t="str">
            <v>Não Processado</v>
          </cell>
          <cell r="C113">
            <v>198473.76</v>
          </cell>
          <cell r="D113">
            <v>198473.76</v>
          </cell>
          <cell r="E113">
            <v>198473.76</v>
          </cell>
          <cell r="F113">
            <v>198473.76</v>
          </cell>
          <cell r="G113">
            <v>198473.76</v>
          </cell>
          <cell r="H113">
            <v>198473.76</v>
          </cell>
          <cell r="I113">
            <v>198473.76</v>
          </cell>
        </row>
        <row r="114">
          <cell r="B114" t="str">
            <v>Processado</v>
          </cell>
          <cell r="C114">
            <v>2290.56</v>
          </cell>
          <cell r="D114">
            <v>2290.56</v>
          </cell>
          <cell r="E114">
            <v>2290.56</v>
          </cell>
          <cell r="F114">
            <v>2290.56</v>
          </cell>
          <cell r="G114">
            <v>2290.56</v>
          </cell>
          <cell r="H114">
            <v>2290.56</v>
          </cell>
          <cell r="I114">
            <v>2290.56</v>
          </cell>
        </row>
        <row r="115">
          <cell r="A115" t="str">
            <v>PAGAMENTO</v>
          </cell>
          <cell r="B115" t="str">
            <v>Não Processado</v>
          </cell>
          <cell r="C115">
            <v>0</v>
          </cell>
          <cell r="D115">
            <v>27806.34</v>
          </cell>
          <cell r="E115">
            <v>27806.34</v>
          </cell>
          <cell r="F115">
            <v>27806.34</v>
          </cell>
          <cell r="G115">
            <v>27806.34</v>
          </cell>
          <cell r="H115">
            <v>27806.34</v>
          </cell>
          <cell r="I115">
            <v>27806.34</v>
          </cell>
        </row>
        <row r="116">
          <cell r="B116" t="str">
            <v>Processado</v>
          </cell>
          <cell r="C116">
            <v>2290.56</v>
          </cell>
          <cell r="D116">
            <v>2290.56</v>
          </cell>
          <cell r="E116">
            <v>2290.56</v>
          </cell>
          <cell r="F116">
            <v>2290.56</v>
          </cell>
          <cell r="G116">
            <v>2290.56</v>
          </cell>
          <cell r="H116">
            <v>2290.56</v>
          </cell>
          <cell r="I116">
            <v>2290.56</v>
          </cell>
        </row>
        <row r="117">
          <cell r="A117" t="str">
            <v>CANCELAMENTO</v>
          </cell>
          <cell r="B117" t="str">
            <v>Não Processado</v>
          </cell>
          <cell r="C117">
            <v>0</v>
          </cell>
          <cell r="D117">
            <v>27047.4</v>
          </cell>
          <cell r="E117">
            <v>170667.42</v>
          </cell>
          <cell r="F117">
            <v>170667.42</v>
          </cell>
          <cell r="G117">
            <v>170667.42</v>
          </cell>
          <cell r="H117">
            <v>170667.42</v>
          </cell>
          <cell r="I117">
            <v>170667.42</v>
          </cell>
        </row>
        <row r="118">
          <cell r="B118" t="str">
            <v>Processado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20">
          <cell r="A120" t="str">
            <v>A.E.O. - RESTO A PAGAR - COMPETÊNCIAS ANTERIORES</v>
          </cell>
        </row>
        <row r="121">
          <cell r="A121" t="str">
            <v>POR CONTA DE DESPESA - DESPESA CORRENTE</v>
          </cell>
        </row>
        <row r="122">
          <cell r="A122" t="str">
            <v>SALDO TRANSFERIDO</v>
          </cell>
          <cell r="B122" t="str">
            <v>Não Processado</v>
          </cell>
          <cell r="C122">
            <v>1990.57</v>
          </cell>
          <cell r="D122">
            <v>1990.57</v>
          </cell>
          <cell r="E122">
            <v>1990.57</v>
          </cell>
          <cell r="F122">
            <v>1990.57</v>
          </cell>
          <cell r="G122">
            <v>1990.57</v>
          </cell>
          <cell r="H122">
            <v>1990.57</v>
          </cell>
          <cell r="I122">
            <v>1990.57</v>
          </cell>
        </row>
        <row r="123">
          <cell r="B123" t="str">
            <v>Processado</v>
          </cell>
          <cell r="C123">
            <v>11541.36</v>
          </cell>
          <cell r="D123">
            <v>11541.36</v>
          </cell>
          <cell r="E123">
            <v>11541.36</v>
          </cell>
          <cell r="F123">
            <v>11541.36</v>
          </cell>
          <cell r="G123">
            <v>11541.36</v>
          </cell>
          <cell r="H123">
            <v>11541.36</v>
          </cell>
          <cell r="I123">
            <v>11541.36</v>
          </cell>
        </row>
        <row r="124">
          <cell r="A124" t="str">
            <v>PAGAMENTO</v>
          </cell>
          <cell r="B124" t="str">
            <v>Não Processado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B125" t="str">
            <v>Processado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 t="str">
            <v>CANCELAMENTO</v>
          </cell>
          <cell r="B126" t="str">
            <v>Não Processado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B127" t="str">
            <v>Processado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 t="str">
            <v>POR CONTA DE DESPESA - DESPESA CAPITAL</v>
          </cell>
        </row>
        <row r="129">
          <cell r="A129" t="str">
            <v>SALDO TRANSFERIDO</v>
          </cell>
          <cell r="B129" t="str">
            <v>Não Processado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B130" t="str">
            <v>Processado</v>
          </cell>
          <cell r="C130">
            <v>1500</v>
          </cell>
          <cell r="D130">
            <v>1500</v>
          </cell>
          <cell r="E130">
            <v>1500</v>
          </cell>
          <cell r="F130">
            <v>1500</v>
          </cell>
          <cell r="G130">
            <v>1500</v>
          </cell>
          <cell r="H130">
            <v>1500</v>
          </cell>
          <cell r="I130">
            <v>1500</v>
          </cell>
        </row>
        <row r="131">
          <cell r="A131" t="str">
            <v>PAGAMENTO</v>
          </cell>
          <cell r="B131" t="str">
            <v>Não Processado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B132" t="str">
            <v>Processado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 t="str">
            <v>CANCELAMENTO</v>
          </cell>
          <cell r="B133" t="str">
            <v>Não Processado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B134" t="str">
            <v>Processado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7">
          <cell r="A137" t="str">
            <v>TRANSFERÊNCIAS FINANCEIRAS RECEBIDAS (II)</v>
          </cell>
        </row>
        <row r="138">
          <cell r="A138" t="str">
            <v>PARA  EXECUÇÃO ORÇAMENTÁRIA</v>
          </cell>
        </row>
        <row r="145">
          <cell r="B145" t="str">
            <v>TOTAL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8">
          <cell r="A148" t="str">
            <v>TRANSFERÊNCIAS FINANCEIRAS CONCEDIDAS (VII)</v>
          </cell>
        </row>
        <row r="149">
          <cell r="A149" t="str">
            <v>PARA  EXECUÇÃO ORÇAMENTÁRIA</v>
          </cell>
        </row>
        <row r="150">
          <cell r="A150" t="str">
            <v>RENDIMENTO FINANCEIRO DA TRANSFERÊNCIA PARA EDUCAÇÃO</v>
          </cell>
          <cell r="C150">
            <v>340171.13</v>
          </cell>
          <cell r="D150">
            <v>275752.03999999998</v>
          </cell>
          <cell r="E150">
            <v>319833.27</v>
          </cell>
          <cell r="F150">
            <v>238669.04</v>
          </cell>
          <cell r="G150">
            <v>285787.87</v>
          </cell>
          <cell r="H150">
            <v>260449.47</v>
          </cell>
          <cell r="I150">
            <v>247440.53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DESVINCULAÇÃO ADICIONAL DA RECEITA - R$5.158.455,99</v>
          </cell>
        </row>
        <row r="152">
          <cell r="A152" t="str">
            <v>DESVINCULAÇÃO ADICIONAL DA RECEITA - R$15.480.496,12</v>
          </cell>
          <cell r="I152">
            <v>15480496.119999999</v>
          </cell>
        </row>
        <row r="156">
          <cell r="B156" t="str">
            <v>TOTAL</v>
          </cell>
          <cell r="C156">
            <v>340171.13</v>
          </cell>
          <cell r="D156">
            <v>615923.16999999993</v>
          </cell>
          <cell r="E156">
            <v>935756.44</v>
          </cell>
          <cell r="F156">
            <v>1174425.48</v>
          </cell>
          <cell r="G156">
            <v>1460213.35</v>
          </cell>
          <cell r="H156">
            <v>1720662.82</v>
          </cell>
          <cell r="I156">
            <v>17448599.469999999</v>
          </cell>
          <cell r="J156">
            <v>17448599.469999999</v>
          </cell>
          <cell r="K156">
            <v>17448599.469999999</v>
          </cell>
          <cell r="L156">
            <v>17448599.469999999</v>
          </cell>
          <cell r="M156">
            <v>17448599.469999999</v>
          </cell>
          <cell r="N156">
            <v>17448599.469999999</v>
          </cell>
        </row>
      </sheetData>
      <sheetData sheetId="1">
        <row r="5">
          <cell r="A5">
            <v>42917</v>
          </cell>
        </row>
        <row r="10">
          <cell r="D10">
            <v>15480496.119999999</v>
          </cell>
        </row>
        <row r="18">
          <cell r="D18">
            <v>42333856.960000008</v>
          </cell>
          <cell r="K18">
            <v>62383019.579999998</v>
          </cell>
        </row>
        <row r="20">
          <cell r="D20">
            <v>7600.81</v>
          </cell>
        </row>
        <row r="22">
          <cell r="D22">
            <v>0</v>
          </cell>
          <cell r="K22">
            <v>17448599.469999999</v>
          </cell>
        </row>
        <row r="28">
          <cell r="D28">
            <v>25995937.280000001</v>
          </cell>
          <cell r="K28">
            <v>844095.9</v>
          </cell>
        </row>
        <row r="30">
          <cell r="D30">
            <v>363397.56</v>
          </cell>
          <cell r="K30">
            <v>30415.85</v>
          </cell>
        </row>
        <row r="32">
          <cell r="D32">
            <v>9637727.75</v>
          </cell>
          <cell r="K32">
            <v>29751350.509999998</v>
          </cell>
        </row>
        <row r="35">
          <cell r="D35">
            <v>257815249.62999997</v>
          </cell>
          <cell r="K35">
            <v>241176784.80000001</v>
          </cell>
        </row>
      </sheetData>
      <sheetData sheetId="2">
        <row r="8">
          <cell r="K8">
            <v>1205247.18</v>
          </cell>
        </row>
        <row r="20">
          <cell r="D20">
            <v>798602.27</v>
          </cell>
        </row>
        <row r="25">
          <cell r="D25">
            <v>539636.56999999995</v>
          </cell>
          <cell r="K25">
            <v>32649.34</v>
          </cell>
        </row>
        <row r="27">
          <cell r="D27">
            <v>0</v>
          </cell>
          <cell r="K27">
            <v>100342.32</v>
          </cell>
        </row>
        <row r="30">
          <cell r="D30">
            <v>0</v>
          </cell>
        </row>
      </sheetData>
      <sheetData sheetId="3"/>
      <sheetData sheetId="4">
        <row r="1">
          <cell r="A1">
            <v>42917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4">
    <tabColor indexed="42"/>
  </sheetPr>
  <dimension ref="A1:IV67"/>
  <sheetViews>
    <sheetView showGridLines="0" tabSelected="1" showOutlineSymbols="0" zoomScale="115" zoomScaleNormal="115" workbookViewId="0">
      <selection activeCell="A3" sqref="A3:N3"/>
    </sheetView>
  </sheetViews>
  <sheetFormatPr defaultColWidth="6.85546875" defaultRowHeight="13.5" customHeight="1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7" width="16.7109375" style="1" customWidth="1"/>
    <col min="8" max="12" width="9.85546875" style="1" customWidth="1"/>
    <col min="13" max="13" width="7.28515625" style="1" customWidth="1"/>
    <col min="14" max="14" width="16.85546875" style="33" customWidth="1"/>
    <col min="15" max="15" width="14.42578125" style="1" bestFit="1" customWidth="1"/>
    <col min="16" max="16" width="14.28515625" style="1" bestFit="1" customWidth="1"/>
    <col min="17" max="17" width="9" style="1" bestFit="1" customWidth="1"/>
    <col min="18" max="16384" width="6.85546875" style="1"/>
  </cols>
  <sheetData>
    <row r="1" spans="1:16" ht="13.5" customHeight="1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6" ht="15" customHeight="1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P2" s="2"/>
    </row>
    <row r="3" spans="1:16" ht="15" customHeight="1">
      <c r="A3" s="177" t="s">
        <v>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6" ht="13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 t="s">
        <v>3</v>
      </c>
    </row>
    <row r="5" spans="1:16" ht="19.5" customHeight="1">
      <c r="A5" s="178" t="s">
        <v>4</v>
      </c>
      <c r="B5" s="179"/>
      <c r="C5" s="179"/>
      <c r="D5" s="179"/>
      <c r="E5" s="179"/>
      <c r="F5" s="179"/>
      <c r="G5" s="179"/>
      <c r="H5" s="178" t="s">
        <v>5</v>
      </c>
      <c r="I5" s="179"/>
      <c r="J5" s="179"/>
      <c r="K5" s="179"/>
      <c r="L5" s="179"/>
      <c r="M5" s="179"/>
      <c r="N5" s="180"/>
    </row>
    <row r="6" spans="1:16" ht="19.5" customHeight="1">
      <c r="A6" s="181" t="s">
        <v>6</v>
      </c>
      <c r="B6" s="182"/>
      <c r="C6" s="182"/>
      <c r="D6" s="182"/>
      <c r="E6" s="182"/>
      <c r="F6" s="183"/>
      <c r="G6" s="5" t="s">
        <v>7</v>
      </c>
      <c r="H6" s="184" t="s">
        <v>6</v>
      </c>
      <c r="I6" s="185"/>
      <c r="J6" s="185"/>
      <c r="K6" s="185"/>
      <c r="L6" s="185"/>
      <c r="M6" s="186"/>
      <c r="N6" s="5" t="s">
        <v>7</v>
      </c>
    </row>
    <row r="7" spans="1:16" ht="13.5" customHeight="1">
      <c r="A7" s="157" t="s">
        <v>8</v>
      </c>
      <c r="B7" s="161"/>
      <c r="C7" s="161"/>
      <c r="D7" s="161"/>
      <c r="E7" s="161"/>
      <c r="F7" s="158"/>
      <c r="G7" s="6">
        <f>SUBTOTAL(9,G8:G19)</f>
        <v>57821953.890000008</v>
      </c>
      <c r="H7" s="157" t="s">
        <v>9</v>
      </c>
      <c r="I7" s="161"/>
      <c r="J7" s="161"/>
      <c r="K7" s="161"/>
      <c r="L7" s="161"/>
      <c r="M7" s="158"/>
      <c r="N7" s="6">
        <f>SUBTOTAL(9,N8:N19)</f>
        <v>63588266.759999998</v>
      </c>
      <c r="O7" s="7"/>
      <c r="P7" s="8"/>
    </row>
    <row r="8" spans="1:16" ht="13.5" customHeight="1">
      <c r="A8" s="163" t="s">
        <v>10</v>
      </c>
      <c r="B8" s="165"/>
      <c r="C8" s="164"/>
      <c r="D8" s="164"/>
      <c r="E8" s="164"/>
      <c r="F8" s="187"/>
      <c r="G8" s="6">
        <f>SUBTOTAL(9,G9:G11)</f>
        <v>15480496.119999999</v>
      </c>
      <c r="H8" s="163" t="s">
        <v>10</v>
      </c>
      <c r="I8" s="164"/>
      <c r="J8" s="164"/>
      <c r="K8" s="164"/>
      <c r="L8" s="164"/>
      <c r="M8" s="165"/>
      <c r="N8" s="6">
        <f>SUBTOTAL(9,N9:N11)</f>
        <v>1205247.18</v>
      </c>
      <c r="O8" s="9"/>
    </row>
    <row r="9" spans="1:16" ht="13.5" customHeight="1">
      <c r="A9" s="166" t="s">
        <v>11</v>
      </c>
      <c r="B9" s="167"/>
      <c r="C9" s="174"/>
      <c r="D9" s="174"/>
      <c r="E9" s="174"/>
      <c r="F9" s="169"/>
      <c r="G9" s="10">
        <f>+'[1]B.F. 00'!D8+'[1]B.F. 05'!D10</f>
        <v>15480496.119999999</v>
      </c>
      <c r="H9" s="166" t="s">
        <v>11</v>
      </c>
      <c r="I9" s="168"/>
      <c r="J9" s="168"/>
      <c r="K9" s="168"/>
      <c r="L9" s="168"/>
      <c r="M9" s="167"/>
      <c r="N9" s="10">
        <f>+'[1]B.F. 00'!K8+'[1]B.F. 05'!K10</f>
        <v>1205247.18</v>
      </c>
      <c r="O9" s="7"/>
      <c r="P9" s="2"/>
    </row>
    <row r="10" spans="1:16" ht="13.5" customHeight="1">
      <c r="A10" s="166" t="s">
        <v>12</v>
      </c>
      <c r="B10" s="167"/>
      <c r="C10" s="168"/>
      <c r="D10" s="168"/>
      <c r="E10" s="168"/>
      <c r="F10" s="169"/>
      <c r="G10" s="10">
        <f>+'[1]B.F. 00'!D9+'[1]B.F. 05'!D11</f>
        <v>0</v>
      </c>
      <c r="H10" s="166" t="s">
        <v>12</v>
      </c>
      <c r="I10" s="168"/>
      <c r="J10" s="168"/>
      <c r="K10" s="168"/>
      <c r="L10" s="168"/>
      <c r="M10" s="167"/>
      <c r="N10" s="10">
        <f>+'[1]B.F. 00'!K9+'[1]B.F. 05'!K11</f>
        <v>0</v>
      </c>
    </row>
    <row r="11" spans="1:16" ht="13.5" customHeight="1">
      <c r="A11" s="166" t="s">
        <v>13</v>
      </c>
      <c r="B11" s="167"/>
      <c r="C11" s="168"/>
      <c r="D11" s="168"/>
      <c r="E11" s="168"/>
      <c r="F11" s="169"/>
      <c r="G11" s="10">
        <f>+'[1]B.F. 00'!D10+'[1]B.F. 05'!D12</f>
        <v>0</v>
      </c>
      <c r="H11" s="166" t="s">
        <v>13</v>
      </c>
      <c r="I11" s="168"/>
      <c r="J11" s="168"/>
      <c r="K11" s="168"/>
      <c r="L11" s="168"/>
      <c r="M11" s="167"/>
      <c r="N11" s="10">
        <f>+'[1]B.F. 00'!K10+'[1]B.F. 05'!K12</f>
        <v>0</v>
      </c>
    </row>
    <row r="12" spans="1:16" ht="13.5" customHeight="1">
      <c r="A12" s="150" t="s">
        <v>14</v>
      </c>
      <c r="B12" s="151"/>
      <c r="C12" s="152"/>
      <c r="D12" s="152"/>
      <c r="E12" s="152"/>
      <c r="F12" s="153"/>
      <c r="G12" s="11">
        <f>SUBTOTAL(9,G13:G19)</f>
        <v>42341457.770000011</v>
      </c>
      <c r="H12" s="150" t="s">
        <v>14</v>
      </c>
      <c r="I12" s="152"/>
      <c r="J12" s="152"/>
      <c r="K12" s="152"/>
      <c r="L12" s="152"/>
      <c r="M12" s="151"/>
      <c r="N12" s="11">
        <f>SUBTOTAL(9,N13:N19)</f>
        <v>62383019.579999998</v>
      </c>
      <c r="P12" s="2"/>
    </row>
    <row r="13" spans="1:16" ht="13.5" customHeight="1">
      <c r="A13" s="166" t="s">
        <v>15</v>
      </c>
      <c r="B13" s="167"/>
      <c r="C13" s="168"/>
      <c r="D13" s="168"/>
      <c r="E13" s="168"/>
      <c r="F13" s="169"/>
      <c r="G13" s="10">
        <f>+'[1]B.F. 00'!D12+'[1]B.F. 05'!D14</f>
        <v>0</v>
      </c>
      <c r="H13" s="166" t="s">
        <v>15</v>
      </c>
      <c r="I13" s="168"/>
      <c r="J13" s="168"/>
      <c r="K13" s="168"/>
      <c r="L13" s="168"/>
      <c r="M13" s="167"/>
      <c r="N13" s="10">
        <f>+'[1]B.F. 00'!K12+'[1]B.F. 05'!K14</f>
        <v>0</v>
      </c>
    </row>
    <row r="14" spans="1:16" ht="13.5" customHeight="1">
      <c r="A14" s="166" t="s">
        <v>16</v>
      </c>
      <c r="B14" s="167"/>
      <c r="C14" s="168"/>
      <c r="D14" s="168"/>
      <c r="E14" s="168"/>
      <c r="F14" s="169"/>
      <c r="G14" s="10">
        <f>+'[1]B.F. 00'!D13+'[1]B.F. 05'!D15</f>
        <v>0</v>
      </c>
      <c r="H14" s="166" t="s">
        <v>16</v>
      </c>
      <c r="I14" s="168"/>
      <c r="J14" s="168"/>
      <c r="K14" s="168"/>
      <c r="L14" s="168"/>
      <c r="M14" s="167"/>
      <c r="N14" s="10">
        <f>+'[1]B.F. 00'!K13+'[1]B.F. 05'!K15</f>
        <v>0</v>
      </c>
    </row>
    <row r="15" spans="1:16" ht="13.5" customHeight="1">
      <c r="A15" s="166" t="s">
        <v>17</v>
      </c>
      <c r="B15" s="167"/>
      <c r="C15" s="168"/>
      <c r="D15" s="168"/>
      <c r="E15" s="168"/>
      <c r="F15" s="169"/>
      <c r="G15" s="10">
        <f>+'[1]B.F. 00'!D14+'[1]B.F. 05'!D16</f>
        <v>0</v>
      </c>
      <c r="H15" s="166" t="s">
        <v>17</v>
      </c>
      <c r="I15" s="168"/>
      <c r="J15" s="168"/>
      <c r="K15" s="168"/>
      <c r="L15" s="168"/>
      <c r="M15" s="167"/>
      <c r="N15" s="10">
        <f>+'[1]B.F. 00'!K14+'[1]B.F. 05'!K16</f>
        <v>0</v>
      </c>
    </row>
    <row r="16" spans="1:16" ht="13.5" customHeight="1">
      <c r="A16" s="166" t="s">
        <v>18</v>
      </c>
      <c r="B16" s="167"/>
      <c r="C16" s="168"/>
      <c r="D16" s="168"/>
      <c r="E16" s="168"/>
      <c r="F16" s="169"/>
      <c r="G16" s="10">
        <f>+'[1]B.F. 00'!D15+'[1]B.F. 05'!D17</f>
        <v>0</v>
      </c>
      <c r="H16" s="166" t="s">
        <v>18</v>
      </c>
      <c r="I16" s="168"/>
      <c r="J16" s="168"/>
      <c r="K16" s="168"/>
      <c r="L16" s="168"/>
      <c r="M16" s="167"/>
      <c r="N16" s="10">
        <f>+'[1]B.F. 00'!K15+'[1]B.F. 05'!K17</f>
        <v>0</v>
      </c>
    </row>
    <row r="17" spans="1:17" ht="13.5" customHeight="1">
      <c r="A17" s="166" t="s">
        <v>19</v>
      </c>
      <c r="B17" s="167"/>
      <c r="C17" s="168"/>
      <c r="D17" s="168"/>
      <c r="E17" s="168"/>
      <c r="F17" s="169"/>
      <c r="G17" s="10">
        <f>'[1]B.F. 00'!D16+'[1]B.F. 05'!D18</f>
        <v>42333856.960000008</v>
      </c>
      <c r="H17" s="166" t="s">
        <v>19</v>
      </c>
      <c r="I17" s="168"/>
      <c r="J17" s="168"/>
      <c r="K17" s="168"/>
      <c r="L17" s="168"/>
      <c r="M17" s="167"/>
      <c r="N17" s="10">
        <f>+'[1]B.F. 00'!K16+'[1]B.F. 05'!K18</f>
        <v>62383019.579999998</v>
      </c>
      <c r="O17" s="8"/>
    </row>
    <row r="18" spans="1:17" ht="13.5" customHeight="1">
      <c r="A18" s="166" t="s">
        <v>20</v>
      </c>
      <c r="B18" s="167"/>
      <c r="C18" s="168"/>
      <c r="D18" s="168"/>
      <c r="E18" s="168"/>
      <c r="F18" s="169"/>
      <c r="G18" s="10">
        <f>+'[1]B.F. 00'!D17+'[1]B.F. 05'!D19</f>
        <v>0</v>
      </c>
      <c r="H18" s="166" t="s">
        <v>20</v>
      </c>
      <c r="I18" s="168"/>
      <c r="J18" s="168"/>
      <c r="K18" s="168"/>
      <c r="L18" s="168"/>
      <c r="M18" s="167"/>
      <c r="N18" s="10">
        <f>+'[1]B.F. 00'!K17+'[1]B.F. 05'!K19</f>
        <v>0</v>
      </c>
    </row>
    <row r="19" spans="1:17" ht="13.5" customHeight="1">
      <c r="A19" s="170" t="s">
        <v>21</v>
      </c>
      <c r="B19" s="171"/>
      <c r="C19" s="172"/>
      <c r="D19" s="172"/>
      <c r="E19" s="172"/>
      <c r="F19" s="173"/>
      <c r="G19" s="12">
        <f>+'[1]B.F. 00'!D18+'[1]B.F. 05'!D20</f>
        <v>7600.81</v>
      </c>
      <c r="H19" s="170" t="s">
        <v>21</v>
      </c>
      <c r="I19" s="172"/>
      <c r="J19" s="172"/>
      <c r="K19" s="172"/>
      <c r="L19" s="172"/>
      <c r="M19" s="171"/>
      <c r="N19" s="12">
        <f>+'[1]B.F. 00'!K18+'[1]B.F. 05'!K20</f>
        <v>0</v>
      </c>
    </row>
    <row r="20" spans="1:17" ht="13.5" customHeight="1">
      <c r="A20" s="157" t="s">
        <v>22</v>
      </c>
      <c r="B20" s="161"/>
      <c r="C20" s="161"/>
      <c r="D20" s="161"/>
      <c r="E20" s="161"/>
      <c r="F20" s="158"/>
      <c r="G20" s="13">
        <f>SUM(G21:G24)</f>
        <v>798602.27</v>
      </c>
      <c r="H20" s="157" t="s">
        <v>23</v>
      </c>
      <c r="I20" s="161"/>
      <c r="J20" s="161"/>
      <c r="K20" s="161"/>
      <c r="L20" s="161"/>
      <c r="M20" s="158"/>
      <c r="N20" s="14">
        <f>SUM(N21:N24)</f>
        <v>17448599.469999999</v>
      </c>
      <c r="P20" s="2"/>
    </row>
    <row r="21" spans="1:17" ht="13.5" customHeight="1">
      <c r="A21" s="150" t="s">
        <v>24</v>
      </c>
      <c r="B21" s="151"/>
      <c r="C21" s="152"/>
      <c r="D21" s="152"/>
      <c r="E21" s="152"/>
      <c r="F21" s="153"/>
      <c r="G21" s="10">
        <f>'[1]B.F. 00'!D20+'[1]B.F. 05'!D22</f>
        <v>798602.27</v>
      </c>
      <c r="H21" s="163" t="s">
        <v>24</v>
      </c>
      <c r="I21" s="164"/>
      <c r="J21" s="164"/>
      <c r="K21" s="164"/>
      <c r="L21" s="164"/>
      <c r="M21" s="165"/>
      <c r="N21" s="10">
        <f>+'[1]B.F. 00'!K20+'[1]B.F. 05'!K22</f>
        <v>17448599.469999999</v>
      </c>
    </row>
    <row r="22" spans="1:17" ht="13.5" customHeight="1">
      <c r="A22" s="150" t="s">
        <v>25</v>
      </c>
      <c r="B22" s="151"/>
      <c r="C22" s="152"/>
      <c r="D22" s="152"/>
      <c r="E22" s="152"/>
      <c r="F22" s="153"/>
      <c r="G22" s="10">
        <f>+'[1]B.F. 00'!D21+'[1]B.F. 05'!D23</f>
        <v>0</v>
      </c>
      <c r="H22" s="150" t="s">
        <v>25</v>
      </c>
      <c r="I22" s="152"/>
      <c r="J22" s="152"/>
      <c r="K22" s="152"/>
      <c r="L22" s="152"/>
      <c r="M22" s="151"/>
      <c r="N22" s="10">
        <f>+'[1]B.F. 00'!K21+'[1]B.F. 05'!K23</f>
        <v>0</v>
      </c>
    </row>
    <row r="23" spans="1:17" ht="13.5" customHeight="1">
      <c r="A23" s="150" t="s">
        <v>26</v>
      </c>
      <c r="B23" s="151"/>
      <c r="C23" s="152"/>
      <c r="D23" s="152"/>
      <c r="E23" s="152"/>
      <c r="F23" s="153"/>
      <c r="G23" s="10">
        <f>+'[1]B.F. 00'!D22+'[1]B.F. 05'!D24</f>
        <v>0</v>
      </c>
      <c r="H23" s="150" t="s">
        <v>26</v>
      </c>
      <c r="I23" s="152"/>
      <c r="J23" s="152"/>
      <c r="K23" s="152"/>
      <c r="L23" s="152"/>
      <c r="M23" s="151"/>
      <c r="N23" s="10">
        <f>+'[1]B.F. 00'!K22+'[1]B.F. 05'!K24</f>
        <v>0</v>
      </c>
    </row>
    <row r="24" spans="1:17" ht="13.5" customHeight="1">
      <c r="A24" s="150" t="s">
        <v>27</v>
      </c>
      <c r="B24" s="151"/>
      <c r="C24" s="152"/>
      <c r="D24" s="152"/>
      <c r="E24" s="152"/>
      <c r="F24" s="153"/>
      <c r="G24" s="10">
        <f>+'[1]B.F. 00'!D23+'[1]B.F. 05'!D25</f>
        <v>0</v>
      </c>
      <c r="H24" s="154" t="s">
        <v>27</v>
      </c>
      <c r="I24" s="155"/>
      <c r="J24" s="155"/>
      <c r="K24" s="155"/>
      <c r="L24" s="155"/>
      <c r="M24" s="156"/>
      <c r="N24" s="10">
        <f>+'[1]B.F. 00'!K23+'[1]B.F. 05'!K25</f>
        <v>0</v>
      </c>
    </row>
    <row r="25" spans="1:17" ht="13.5" customHeight="1">
      <c r="A25" s="157" t="s">
        <v>28</v>
      </c>
      <c r="B25" s="161"/>
      <c r="C25" s="161"/>
      <c r="D25" s="161"/>
      <c r="E25" s="161"/>
      <c r="F25" s="158"/>
      <c r="G25" s="14">
        <f>SUBTOTAL(9,G26:G31)</f>
        <v>36536699.159999996</v>
      </c>
      <c r="H25" s="157" t="s">
        <v>29</v>
      </c>
      <c r="I25" s="161"/>
      <c r="J25" s="161"/>
      <c r="K25" s="161"/>
      <c r="L25" s="161"/>
      <c r="M25" s="158"/>
      <c r="N25" s="14">
        <f>SUBTOTAL(9,N26:N31)</f>
        <v>30758853.919999998</v>
      </c>
      <c r="O25" s="8"/>
    </row>
    <row r="26" spans="1:17" ht="13.5" customHeight="1">
      <c r="A26" s="150" t="s">
        <v>30</v>
      </c>
      <c r="B26" s="151"/>
      <c r="C26" s="152"/>
      <c r="D26" s="152"/>
      <c r="E26" s="152"/>
      <c r="F26" s="153"/>
      <c r="G26" s="15">
        <f>+'[1]B.F. 00'!D25+'[1]B.F. 05'!D27</f>
        <v>539636.56999999995</v>
      </c>
      <c r="H26" s="163" t="s">
        <v>31</v>
      </c>
      <c r="I26" s="164"/>
      <c r="J26" s="164"/>
      <c r="K26" s="164"/>
      <c r="L26" s="164"/>
      <c r="M26" s="165"/>
      <c r="N26" s="10">
        <f>+'[1]B.F. 00'!K25+'[1]B.F. 05'!K27</f>
        <v>32649.34</v>
      </c>
    </row>
    <row r="27" spans="1:17" ht="13.5" customHeight="1">
      <c r="A27" s="150" t="s">
        <v>32</v>
      </c>
      <c r="B27" s="151"/>
      <c r="C27" s="152"/>
      <c r="D27" s="152"/>
      <c r="E27" s="152"/>
      <c r="F27" s="153"/>
      <c r="G27" s="10">
        <f>+'[1]B.F. 00'!D26+'[1]B.F. 05'!D28</f>
        <v>25995937.280000001</v>
      </c>
      <c r="H27" s="150" t="s">
        <v>33</v>
      </c>
      <c r="I27" s="152"/>
      <c r="J27" s="152"/>
      <c r="K27" s="152"/>
      <c r="L27" s="152"/>
      <c r="M27" s="151"/>
      <c r="N27" s="10">
        <f>+'[1]B.F. 00'!K26+'[1]B.F. 05'!K28</f>
        <v>844095.9</v>
      </c>
    </row>
    <row r="28" spans="1:17" ht="13.5" customHeight="1">
      <c r="A28" s="150" t="s">
        <v>34</v>
      </c>
      <c r="B28" s="151"/>
      <c r="C28" s="152"/>
      <c r="D28" s="152"/>
      <c r="E28" s="152"/>
      <c r="F28" s="153"/>
      <c r="G28" s="10">
        <f>+'[1]B.F. 00'!D27+'[1]B.F. 05'!D29</f>
        <v>0</v>
      </c>
      <c r="H28" s="150" t="s">
        <v>35</v>
      </c>
      <c r="I28" s="152"/>
      <c r="J28" s="152"/>
      <c r="K28" s="152"/>
      <c r="L28" s="152"/>
      <c r="M28" s="151"/>
      <c r="N28" s="10">
        <f>+'[1]B.F. 00'!K27+'[1]B.F. 05'!K29</f>
        <v>100342.32</v>
      </c>
    </row>
    <row r="29" spans="1:17" ht="13.5" customHeight="1">
      <c r="A29" s="150" t="s">
        <v>36</v>
      </c>
      <c r="B29" s="151"/>
      <c r="C29" s="152"/>
      <c r="D29" s="152"/>
      <c r="E29" s="152"/>
      <c r="F29" s="153"/>
      <c r="G29" s="10">
        <f>+'[1]B.F. 00'!D28+'[1]B.F. 05'!D30</f>
        <v>363397.56</v>
      </c>
      <c r="H29" s="150" t="s">
        <v>37</v>
      </c>
      <c r="I29" s="152"/>
      <c r="J29" s="152"/>
      <c r="K29" s="152"/>
      <c r="L29" s="152"/>
      <c r="M29" s="151"/>
      <c r="N29" s="10">
        <f>+'[1]B.F. 00'!K28+'[1]B.F. 05'!K30</f>
        <v>30415.85</v>
      </c>
    </row>
    <row r="30" spans="1:17" ht="13.5" customHeight="1">
      <c r="A30" s="150" t="s">
        <v>38</v>
      </c>
      <c r="B30" s="151"/>
      <c r="C30" s="152"/>
      <c r="D30" s="152"/>
      <c r="E30" s="152"/>
      <c r="F30" s="153"/>
      <c r="G30" s="10">
        <f>+'[1]B.F. 00'!D29+'[1]B.F. 05'!D31</f>
        <v>0</v>
      </c>
      <c r="H30" s="150" t="s">
        <v>38</v>
      </c>
      <c r="I30" s="152"/>
      <c r="J30" s="152"/>
      <c r="K30" s="152"/>
      <c r="L30" s="152"/>
      <c r="M30" s="151"/>
      <c r="N30" s="10">
        <f>+'[1]B.F. 00'!K29+'[1]B.F. 05'!K31</f>
        <v>0</v>
      </c>
    </row>
    <row r="31" spans="1:17" ht="13.5" customHeight="1">
      <c r="A31" s="150" t="s">
        <v>39</v>
      </c>
      <c r="B31" s="151"/>
      <c r="C31" s="152"/>
      <c r="D31" s="152"/>
      <c r="E31" s="152"/>
      <c r="F31" s="153"/>
      <c r="G31" s="12">
        <f>+'[1]B.F. 00'!D30+'[1]B.F. 05'!D32</f>
        <v>9637727.75</v>
      </c>
      <c r="H31" s="154" t="s">
        <v>40</v>
      </c>
      <c r="I31" s="155"/>
      <c r="J31" s="155"/>
      <c r="K31" s="155"/>
      <c r="L31" s="155"/>
      <c r="M31" s="156"/>
      <c r="N31" s="10">
        <f>+'[1]B.F. 00'!K30+'[1]B.F. 05'!K32</f>
        <v>29751350.509999998</v>
      </c>
    </row>
    <row r="32" spans="1:17" ht="13.5" customHeight="1">
      <c r="A32" s="157" t="s">
        <v>41</v>
      </c>
      <c r="B32" s="161"/>
      <c r="C32" s="161"/>
      <c r="D32" s="161"/>
      <c r="E32" s="161"/>
      <c r="F32" s="158"/>
      <c r="G32" s="14">
        <f>SUBTOTAL(9,G33:G35)</f>
        <v>257815249.62999997</v>
      </c>
      <c r="H32" s="157" t="s">
        <v>42</v>
      </c>
      <c r="I32" s="161"/>
      <c r="J32" s="161"/>
      <c r="K32" s="161"/>
      <c r="L32" s="161"/>
      <c r="M32" s="158"/>
      <c r="N32" s="14">
        <f>SUBTOTAL(9,N33:N35)</f>
        <v>241176784.80000001</v>
      </c>
      <c r="O32" s="2"/>
      <c r="Q32" s="16"/>
    </row>
    <row r="33" spans="1:256" ht="13.5" customHeight="1">
      <c r="A33" s="150" t="s">
        <v>43</v>
      </c>
      <c r="B33" s="151"/>
      <c r="C33" s="152"/>
      <c r="D33" s="152"/>
      <c r="E33" s="152"/>
      <c r="F33" s="153"/>
      <c r="G33" s="10">
        <f>+'[1]B.F. 00'!D32+'[1]B.F. 05'!D34</f>
        <v>0</v>
      </c>
      <c r="H33" s="163" t="s">
        <v>43</v>
      </c>
      <c r="I33" s="164"/>
      <c r="J33" s="164"/>
      <c r="K33" s="164"/>
      <c r="L33" s="164"/>
      <c r="M33" s="165"/>
      <c r="N33" s="10">
        <f>+'[1]B.F. 00'!K32+'[1]B.F. 05'!K34</f>
        <v>0</v>
      </c>
      <c r="O33" s="2"/>
    </row>
    <row r="34" spans="1:256" ht="13.5" customHeight="1">
      <c r="A34" s="150" t="s">
        <v>44</v>
      </c>
      <c r="B34" s="151"/>
      <c r="C34" s="152"/>
      <c r="D34" s="152"/>
      <c r="E34" s="152"/>
      <c r="F34" s="153"/>
      <c r="G34" s="10">
        <f>+'[1]B.F. 05'!D35</f>
        <v>257815249.62999997</v>
      </c>
      <c r="H34" s="150" t="s">
        <v>44</v>
      </c>
      <c r="I34" s="152"/>
      <c r="J34" s="152"/>
      <c r="K34" s="152"/>
      <c r="L34" s="152"/>
      <c r="M34" s="151"/>
      <c r="N34" s="10">
        <f>+'[1]B.F. 00'!K33+'[1]B.F. 05'!K35</f>
        <v>241176784.80000001</v>
      </c>
      <c r="O34" s="2"/>
    </row>
    <row r="35" spans="1:256" ht="13.5" customHeight="1">
      <c r="A35" s="150" t="s">
        <v>38</v>
      </c>
      <c r="B35" s="151"/>
      <c r="C35" s="152"/>
      <c r="D35" s="152"/>
      <c r="E35" s="152"/>
      <c r="F35" s="153"/>
      <c r="G35" s="10">
        <f>+'[1]B.F. 00'!D34+'[1]B.F. 05'!D36</f>
        <v>0</v>
      </c>
      <c r="H35" s="154" t="s">
        <v>38</v>
      </c>
      <c r="I35" s="155"/>
      <c r="J35" s="155"/>
      <c r="K35" s="155"/>
      <c r="L35" s="155"/>
      <c r="M35" s="156"/>
      <c r="N35" s="10">
        <f>+'[1]B.F. 00'!K34+'[1]B.F. 05'!K36</f>
        <v>0</v>
      </c>
    </row>
    <row r="36" spans="1:256" ht="13.5" customHeight="1">
      <c r="A36" s="157" t="s">
        <v>45</v>
      </c>
      <c r="B36" s="158"/>
      <c r="C36" s="159"/>
      <c r="D36" s="159"/>
      <c r="E36" s="159"/>
      <c r="F36" s="160"/>
      <c r="G36" s="17">
        <f>G32+G25+G20+G7</f>
        <v>352972504.94999993</v>
      </c>
      <c r="H36" s="157" t="s">
        <v>46</v>
      </c>
      <c r="I36" s="161"/>
      <c r="J36" s="161"/>
      <c r="K36" s="161"/>
      <c r="L36" s="161"/>
      <c r="M36" s="158"/>
      <c r="N36" s="17">
        <f>N32+N25+N20+N7</f>
        <v>352972504.95000005</v>
      </c>
      <c r="O36" s="18">
        <f>G36-N36</f>
        <v>0</v>
      </c>
      <c r="P36" s="19"/>
    </row>
    <row r="37" spans="1:256" s="24" customFormat="1" ht="13.5" customHeight="1">
      <c r="A37" s="20" t="s">
        <v>47</v>
      </c>
      <c r="B37" s="21"/>
      <c r="C37" s="21"/>
      <c r="D37" s="21"/>
      <c r="E37" s="22"/>
      <c r="F37" s="22"/>
      <c r="G37" s="22"/>
      <c r="H37" s="21"/>
      <c r="I37" s="21"/>
      <c r="J37" s="21"/>
      <c r="K37" s="22"/>
      <c r="L37" s="22"/>
      <c r="M37" s="22"/>
      <c r="N37" s="23"/>
    </row>
    <row r="38" spans="1:256" s="24" customFormat="1" ht="4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P38" s="27"/>
    </row>
    <row r="39" spans="1:256" s="24" customFormat="1" ht="9">
      <c r="A39" s="20" t="s">
        <v>48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</row>
    <row r="40" spans="1:256" s="24" customFormat="1" ht="11.25" customHeight="1">
      <c r="A40" s="162" t="s">
        <v>49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</row>
    <row r="41" spans="1:256" s="24" customFormat="1" ht="11.25" customHeight="1">
      <c r="A41" s="162" t="s">
        <v>50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</row>
    <row r="42" spans="1:256" s="24" customFormat="1" ht="11.25" customHeight="1">
      <c r="A42" s="162" t="s">
        <v>51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</row>
    <row r="43" spans="1:256" s="24" customFormat="1" ht="11.25" customHeight="1">
      <c r="A43" s="148" t="s">
        <v>52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</row>
    <row r="44" spans="1:256" s="24" customFormat="1" ht="11.25" customHeight="1">
      <c r="A44" s="148" t="s">
        <v>53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</row>
    <row r="45" spans="1:256" s="24" customFormat="1" ht="11.25" customHeight="1">
      <c r="A45" s="149" t="s">
        <v>54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P45" s="28"/>
    </row>
    <row r="46" spans="1:256" s="24" customFormat="1" ht="11.25" customHeight="1">
      <c r="A46" s="148" t="s">
        <v>55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</row>
    <row r="47" spans="1:256" s="24" customFormat="1" ht="11.25" customHeight="1">
      <c r="A47" s="149" t="s">
        <v>56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P47" s="28"/>
    </row>
    <row r="48" spans="1:256" s="24" customFormat="1" ht="11.25" customHeight="1">
      <c r="A48" s="148" t="s">
        <v>57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P48" s="28"/>
    </row>
    <row r="49" spans="1:256" s="24" customFormat="1" ht="11.25" customHeight="1">
      <c r="A49" s="149" t="s">
        <v>58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</row>
    <row r="50" spans="1:256" s="24" customFormat="1" ht="11.25" customHeight="1">
      <c r="A50" s="148" t="s">
        <v>59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P50" s="27"/>
    </row>
    <row r="51" spans="1:256" s="24" customFormat="1" ht="9">
      <c r="A51" s="148" t="s">
        <v>60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  <c r="DB51" s="148"/>
      <c r="DC51" s="148"/>
      <c r="DD51" s="148"/>
      <c r="DE51" s="148"/>
      <c r="DF51" s="148"/>
      <c r="DG51" s="148"/>
      <c r="DH51" s="148"/>
      <c r="DI51" s="148"/>
      <c r="DJ51" s="148"/>
      <c r="DK51" s="148"/>
      <c r="DL51" s="148"/>
      <c r="DM51" s="148"/>
      <c r="DN51" s="148"/>
      <c r="DO51" s="148"/>
      <c r="DP51" s="148"/>
      <c r="DQ51" s="148"/>
      <c r="DR51" s="148"/>
      <c r="DS51" s="148"/>
      <c r="DT51" s="148"/>
      <c r="DU51" s="148"/>
      <c r="DV51" s="148"/>
      <c r="DW51" s="148"/>
      <c r="DX51" s="148"/>
      <c r="DY51" s="148"/>
      <c r="DZ51" s="148"/>
      <c r="EA51" s="148"/>
      <c r="EB51" s="148"/>
      <c r="EC51" s="148"/>
      <c r="ED51" s="148"/>
      <c r="EE51" s="148"/>
      <c r="EF51" s="148"/>
      <c r="EG51" s="148"/>
      <c r="EH51" s="148"/>
      <c r="EI51" s="148"/>
      <c r="EJ51" s="148"/>
      <c r="EK51" s="148"/>
      <c r="EL51" s="148"/>
      <c r="EM51" s="148"/>
      <c r="EN51" s="148"/>
      <c r="EO51" s="148"/>
      <c r="EP51" s="148"/>
      <c r="EQ51" s="148"/>
      <c r="ER51" s="148"/>
      <c r="ES51" s="148"/>
      <c r="ET51" s="148"/>
      <c r="EU51" s="148"/>
      <c r="EV51" s="148"/>
      <c r="EW51" s="148"/>
      <c r="EX51" s="148"/>
      <c r="EY51" s="148"/>
      <c r="EZ51" s="148"/>
      <c r="FA51" s="148"/>
      <c r="FB51" s="148"/>
      <c r="FC51" s="148"/>
      <c r="FD51" s="148"/>
      <c r="FE51" s="148"/>
      <c r="FF51" s="148"/>
      <c r="FG51" s="148"/>
      <c r="FH51" s="148"/>
      <c r="FI51" s="148"/>
      <c r="FJ51" s="148"/>
      <c r="FK51" s="148"/>
      <c r="FL51" s="148"/>
      <c r="FM51" s="148"/>
      <c r="FN51" s="148"/>
      <c r="FO51" s="148"/>
      <c r="FP51" s="148"/>
      <c r="FQ51" s="148"/>
      <c r="FR51" s="148"/>
      <c r="FS51" s="148"/>
      <c r="FT51" s="148"/>
      <c r="FU51" s="148"/>
      <c r="FV51" s="148"/>
      <c r="FW51" s="148"/>
      <c r="FX51" s="148"/>
      <c r="FY51" s="148"/>
      <c r="FZ51" s="148"/>
      <c r="GA51" s="148"/>
      <c r="GB51" s="148"/>
      <c r="GC51" s="148"/>
      <c r="GD51" s="148"/>
      <c r="GE51" s="148"/>
      <c r="GF51" s="148"/>
      <c r="GG51" s="148"/>
      <c r="GH51" s="148"/>
      <c r="GI51" s="148"/>
      <c r="GJ51" s="148"/>
      <c r="GK51" s="148"/>
      <c r="GL51" s="148"/>
      <c r="GM51" s="148"/>
      <c r="GN51" s="148"/>
      <c r="GO51" s="148"/>
      <c r="GP51" s="148"/>
      <c r="GQ51" s="148"/>
      <c r="GR51" s="148"/>
      <c r="GS51" s="148"/>
      <c r="GT51" s="148"/>
      <c r="GU51" s="148"/>
      <c r="GV51" s="148"/>
      <c r="GW51" s="148"/>
      <c r="GX51" s="148"/>
      <c r="GY51" s="148"/>
      <c r="GZ51" s="148"/>
      <c r="HA51" s="148"/>
      <c r="HB51" s="148"/>
      <c r="HC51" s="148"/>
      <c r="HD51" s="148"/>
      <c r="HE51" s="148"/>
      <c r="HF51" s="148"/>
      <c r="HG51" s="148"/>
      <c r="HH51" s="148"/>
      <c r="HI51" s="148"/>
      <c r="HJ51" s="148"/>
      <c r="HK51" s="148"/>
      <c r="HL51" s="148"/>
      <c r="HM51" s="148"/>
      <c r="HN51" s="148"/>
      <c r="HO51" s="148"/>
      <c r="HP51" s="148"/>
      <c r="HQ51" s="148"/>
      <c r="HR51" s="148"/>
      <c r="HS51" s="148"/>
      <c r="HT51" s="148"/>
      <c r="HU51" s="148"/>
      <c r="HV51" s="148"/>
      <c r="HW51" s="148"/>
      <c r="HX51" s="148"/>
      <c r="HY51" s="148"/>
      <c r="HZ51" s="148"/>
      <c r="IA51" s="148"/>
      <c r="IB51" s="148"/>
      <c r="IC51" s="148"/>
      <c r="ID51" s="148"/>
      <c r="IE51" s="148"/>
      <c r="IF51" s="148"/>
      <c r="IG51" s="148"/>
      <c r="IH51" s="148"/>
      <c r="II51" s="148"/>
      <c r="IJ51" s="148"/>
      <c r="IK51" s="148"/>
      <c r="IL51" s="148"/>
      <c r="IM51" s="148"/>
      <c r="IN51" s="148"/>
      <c r="IO51" s="148"/>
      <c r="IP51" s="148"/>
      <c r="IQ51" s="148"/>
      <c r="IR51" s="148"/>
      <c r="IS51" s="148"/>
      <c r="IT51" s="148"/>
      <c r="IU51" s="148"/>
      <c r="IV51" s="148"/>
    </row>
    <row r="52" spans="1:256" s="24" customFormat="1" ht="11.2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</row>
    <row r="53" spans="1:256" s="24" customFormat="1" ht="11.2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</row>
    <row r="54" spans="1:256" s="24" customFormat="1" ht="11.2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</row>
    <row r="55" spans="1:256" s="24" customFormat="1" ht="11.2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</row>
    <row r="56" spans="1:256" s="19" customFormat="1" ht="13.5" customHeight="1">
      <c r="A56" s="139" t="s">
        <v>61</v>
      </c>
      <c r="B56" s="139"/>
      <c r="C56" s="139"/>
      <c r="D56" s="139"/>
      <c r="E56" s="139"/>
      <c r="F56" s="140" t="s">
        <v>62</v>
      </c>
      <c r="G56" s="140"/>
      <c r="H56" s="140"/>
      <c r="I56" s="140"/>
      <c r="J56" s="140"/>
      <c r="K56" s="139" t="s">
        <v>63</v>
      </c>
      <c r="L56" s="139"/>
      <c r="M56" s="139"/>
      <c r="N56" s="139"/>
      <c r="O56" s="30"/>
    </row>
    <row r="57" spans="1:256" ht="13.5" customHeight="1">
      <c r="A57" s="141" t="s">
        <v>64</v>
      </c>
      <c r="B57" s="141"/>
      <c r="C57" s="141"/>
      <c r="D57" s="141"/>
      <c r="E57" s="141"/>
      <c r="F57" s="141" t="s">
        <v>65</v>
      </c>
      <c r="G57" s="141"/>
      <c r="H57" s="141"/>
      <c r="I57" s="141"/>
      <c r="J57" s="141"/>
      <c r="K57" s="142" t="s">
        <v>66</v>
      </c>
      <c r="L57" s="142"/>
      <c r="M57" s="142"/>
      <c r="N57" s="142"/>
      <c r="O57" s="31"/>
    </row>
    <row r="58" spans="1:256" ht="13.5" customHeight="1">
      <c r="A58" s="145" t="s">
        <v>67</v>
      </c>
      <c r="B58" s="145"/>
      <c r="C58" s="145"/>
      <c r="D58" s="145"/>
      <c r="E58" s="145"/>
      <c r="F58" s="145" t="s">
        <v>68</v>
      </c>
      <c r="G58" s="145"/>
      <c r="H58" s="145"/>
      <c r="I58" s="145"/>
      <c r="J58" s="145"/>
      <c r="K58" s="146" t="s">
        <v>69</v>
      </c>
      <c r="L58" s="146"/>
      <c r="M58" s="146"/>
      <c r="N58" s="146"/>
      <c r="O58" s="32"/>
    </row>
    <row r="59" spans="1:256" ht="13.5" customHeight="1">
      <c r="A59" s="147" t="s">
        <v>70</v>
      </c>
      <c r="B59" s="147"/>
      <c r="C59" s="147"/>
      <c r="D59" s="147"/>
      <c r="E59" s="147"/>
      <c r="F59" s="145" t="s">
        <v>70</v>
      </c>
      <c r="G59" s="145"/>
      <c r="H59" s="145"/>
      <c r="I59" s="145"/>
      <c r="J59" s="145"/>
      <c r="K59" s="145" t="s">
        <v>70</v>
      </c>
      <c r="L59" s="145"/>
      <c r="M59" s="145"/>
      <c r="N59" s="145"/>
      <c r="O59" s="32"/>
    </row>
    <row r="60" spans="1:256" ht="13.5" customHeight="1">
      <c r="L60" s="33"/>
      <c r="N60" s="1"/>
    </row>
    <row r="64" spans="1:256" ht="13.5" customHeight="1">
      <c r="B64" s="2"/>
    </row>
    <row r="65" spans="1:14" ht="11.25" customHeight="1">
      <c r="B65" s="34"/>
    </row>
    <row r="66" spans="1:14" ht="24" customHeight="1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</row>
    <row r="67" spans="1:14" ht="34.5" customHeight="1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</row>
  </sheetData>
  <mergeCells count="111">
    <mergeCell ref="A7:F7"/>
    <mergeCell ref="H7:M7"/>
    <mergeCell ref="A8:F8"/>
    <mergeCell ref="H8:M8"/>
    <mergeCell ref="A1:N1"/>
    <mergeCell ref="A2:N2"/>
    <mergeCell ref="A3:N3"/>
    <mergeCell ref="A5:G5"/>
    <mergeCell ref="H5:N5"/>
    <mergeCell ref="A6:F6"/>
    <mergeCell ref="H6:M6"/>
    <mergeCell ref="A13:F13"/>
    <mergeCell ref="H13:M13"/>
    <mergeCell ref="A14:F14"/>
    <mergeCell ref="H14:M14"/>
    <mergeCell ref="A9:F9"/>
    <mergeCell ref="H9:M9"/>
    <mergeCell ref="A10:F10"/>
    <mergeCell ref="H10:M10"/>
    <mergeCell ref="A11:F11"/>
    <mergeCell ref="H11:M11"/>
    <mergeCell ref="A12:F12"/>
    <mergeCell ref="H12:M12"/>
    <mergeCell ref="A19:F19"/>
    <mergeCell ref="H19:M19"/>
    <mergeCell ref="A20:F20"/>
    <mergeCell ref="H20:M20"/>
    <mergeCell ref="A15:F15"/>
    <mergeCell ref="H15:M15"/>
    <mergeCell ref="A16:F16"/>
    <mergeCell ref="H16:M16"/>
    <mergeCell ref="A17:F17"/>
    <mergeCell ref="H17:M17"/>
    <mergeCell ref="A18:F18"/>
    <mergeCell ref="H18:M18"/>
    <mergeCell ref="A25:F25"/>
    <mergeCell ref="H25:M25"/>
    <mergeCell ref="A26:F26"/>
    <mergeCell ref="H26:M26"/>
    <mergeCell ref="A21:F21"/>
    <mergeCell ref="H21:M21"/>
    <mergeCell ref="A22:F22"/>
    <mergeCell ref="H22:M22"/>
    <mergeCell ref="A23:F23"/>
    <mergeCell ref="H23:M23"/>
    <mergeCell ref="A24:F24"/>
    <mergeCell ref="H24:M24"/>
    <mergeCell ref="A31:F31"/>
    <mergeCell ref="H31:M31"/>
    <mergeCell ref="A32:F32"/>
    <mergeCell ref="H32:M32"/>
    <mergeCell ref="A27:F27"/>
    <mergeCell ref="H27:M27"/>
    <mergeCell ref="A28:F28"/>
    <mergeCell ref="H28:M28"/>
    <mergeCell ref="A29:F29"/>
    <mergeCell ref="H29:M29"/>
    <mergeCell ref="A30:F30"/>
    <mergeCell ref="H30:M30"/>
    <mergeCell ref="A40:N40"/>
    <mergeCell ref="A41:N41"/>
    <mergeCell ref="A42:N42"/>
    <mergeCell ref="A43:N43"/>
    <mergeCell ref="A33:F33"/>
    <mergeCell ref="H33:M33"/>
    <mergeCell ref="A34:F34"/>
    <mergeCell ref="H34:M34"/>
    <mergeCell ref="A35:F35"/>
    <mergeCell ref="H35:M35"/>
    <mergeCell ref="A36:F36"/>
    <mergeCell ref="H36:M36"/>
    <mergeCell ref="O51:AB51"/>
    <mergeCell ref="AC51:AP51"/>
    <mergeCell ref="AQ51:BD51"/>
    <mergeCell ref="BE51:BR51"/>
    <mergeCell ref="A44:N44"/>
    <mergeCell ref="A45:N45"/>
    <mergeCell ref="HC51:HP51"/>
    <mergeCell ref="HQ51:ID51"/>
    <mergeCell ref="BS51:CF51"/>
    <mergeCell ref="CG51:CT51"/>
    <mergeCell ref="A46:N46"/>
    <mergeCell ref="A47:N47"/>
    <mergeCell ref="A48:N48"/>
    <mergeCell ref="A49:N49"/>
    <mergeCell ref="A50:N50"/>
    <mergeCell ref="A51:N51"/>
    <mergeCell ref="IE51:IR51"/>
    <mergeCell ref="IS51:IV51"/>
    <mergeCell ref="CU51:DH51"/>
    <mergeCell ref="DI51:DV51"/>
    <mergeCell ref="DW51:EJ51"/>
    <mergeCell ref="EK51:EX51"/>
    <mergeCell ref="EY51:FL51"/>
    <mergeCell ref="FM51:FZ51"/>
    <mergeCell ref="GA51:GN51"/>
    <mergeCell ref="GO51:HB51"/>
    <mergeCell ref="A66:N66"/>
    <mergeCell ref="A67:N67"/>
    <mergeCell ref="A58:E58"/>
    <mergeCell ref="F58:J58"/>
    <mergeCell ref="K58:N58"/>
    <mergeCell ref="A59:E59"/>
    <mergeCell ref="F59:J59"/>
    <mergeCell ref="K59:N59"/>
    <mergeCell ref="A56:E56"/>
    <mergeCell ref="F56:J56"/>
    <mergeCell ref="K56:N56"/>
    <mergeCell ref="A57:E57"/>
    <mergeCell ref="F57:J57"/>
    <mergeCell ref="K57:N57"/>
  </mergeCells>
  <phoneticPr fontId="0" type="noConversion"/>
  <conditionalFormatting sqref="A3:N3">
    <cfRule type="cellIs" dxfId="0" priority="1" stopIfTrue="1" operator="equal">
      <formula>"DEZEMBRO 2017"</formula>
    </cfRule>
  </conditionalFormatting>
  <printOptions horizontalCentered="1"/>
  <pageMargins left="0.19685039370078741" right="0.11811023622047245" top="0.11811023622047245" bottom="0" header="0" footer="0"/>
  <pageSetup paperSize="9" scale="78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5">
    <tabColor indexed="42"/>
    <pageSetUpPr fitToPage="1"/>
  </sheetPr>
  <dimension ref="A1:P78"/>
  <sheetViews>
    <sheetView zoomScaleNormal="100" workbookViewId="0">
      <pane ySplit="8" topLeftCell="A9" activePane="bottomLeft" state="frozen"/>
      <selection activeCell="A6" sqref="A6:D6"/>
      <selection pane="bottomLeft" activeCell="D11" sqref="D11:E11"/>
    </sheetView>
  </sheetViews>
  <sheetFormatPr defaultRowHeight="15"/>
  <cols>
    <col min="1" max="1" width="49.140625" style="36" bestFit="1" customWidth="1"/>
    <col min="2" max="5" width="18" style="36" customWidth="1"/>
    <col min="6" max="6" width="22.140625" style="36" bestFit="1" customWidth="1"/>
    <col min="7" max="7" width="24" style="36" bestFit="1" customWidth="1"/>
    <col min="8" max="8" width="9.140625" style="36"/>
    <col min="9" max="9" width="14.28515625" style="36" bestFit="1" customWidth="1"/>
    <col min="10" max="16384" width="9.140625" style="36"/>
  </cols>
  <sheetData>
    <row r="1" spans="1:7" hidden="1">
      <c r="A1" s="35">
        <f>'[1]B.F. 05'!A5:K5</f>
        <v>42917</v>
      </c>
      <c r="D1" s="37"/>
    </row>
    <row r="2" spans="1:7" ht="15.75">
      <c r="A2" s="206" t="s">
        <v>0</v>
      </c>
      <c r="B2" s="206"/>
      <c r="C2" s="206"/>
      <c r="D2" s="206"/>
      <c r="E2" s="206"/>
      <c r="F2" s="206"/>
      <c r="G2" s="206"/>
    </row>
    <row r="3" spans="1:7" ht="15.75">
      <c r="A3" s="206" t="s">
        <v>71</v>
      </c>
      <c r="B3" s="206"/>
      <c r="C3" s="206"/>
      <c r="D3" s="206"/>
      <c r="E3" s="206"/>
      <c r="F3" s="206"/>
      <c r="G3" s="206"/>
    </row>
    <row r="4" spans="1:7" ht="15.75">
      <c r="A4" s="206" t="s">
        <v>72</v>
      </c>
      <c r="B4" s="206"/>
      <c r="C4" s="206"/>
      <c r="D4" s="206"/>
      <c r="E4" s="206"/>
      <c r="F4" s="206"/>
      <c r="G4" s="206"/>
    </row>
    <row r="5" spans="1:7" ht="15.75">
      <c r="A5" s="206" t="s">
        <v>73</v>
      </c>
      <c r="B5" s="206"/>
      <c r="C5" s="206"/>
      <c r="D5" s="206"/>
      <c r="E5" s="206"/>
      <c r="F5" s="206"/>
      <c r="G5" s="206"/>
    </row>
    <row r="6" spans="1:7" ht="15.75" thickBot="1">
      <c r="A6" s="38"/>
      <c r="B6" s="38"/>
      <c r="C6" s="38"/>
      <c r="D6" s="38"/>
      <c r="E6" s="38"/>
    </row>
    <row r="7" spans="1:7" ht="15.75" thickBot="1">
      <c r="A7" s="39" t="s">
        <v>74</v>
      </c>
      <c r="B7" s="204" t="s">
        <v>75</v>
      </c>
      <c r="C7" s="204"/>
      <c r="D7" s="204" t="s">
        <v>76</v>
      </c>
      <c r="E7" s="204"/>
      <c r="F7" s="40" t="s">
        <v>77</v>
      </c>
      <c r="G7" s="41" t="s">
        <v>78</v>
      </c>
    </row>
    <row r="8" spans="1:7">
      <c r="A8" s="42" t="s">
        <v>79</v>
      </c>
      <c r="B8" s="205">
        <f>SUM(B9:B16)</f>
        <v>108665507</v>
      </c>
      <c r="C8" s="205"/>
      <c r="D8" s="205">
        <f>SUM(D9:D16)</f>
        <v>108665507</v>
      </c>
      <c r="E8" s="205"/>
      <c r="F8" s="43">
        <f>SUM(F9:F16)</f>
        <v>57821953.889999993</v>
      </c>
      <c r="G8" s="44">
        <f t="shared" ref="G8:G22" si="0">F8-D8</f>
        <v>-50843553.110000007</v>
      </c>
    </row>
    <row r="9" spans="1:7">
      <c r="A9" s="45" t="s">
        <v>80</v>
      </c>
      <c r="B9" s="194"/>
      <c r="C9" s="195"/>
      <c r="D9" s="194"/>
      <c r="E9" s="195"/>
      <c r="F9" s="46"/>
      <c r="G9" s="47">
        <f t="shared" si="0"/>
        <v>0</v>
      </c>
    </row>
    <row r="10" spans="1:7">
      <c r="A10" s="45" t="s">
        <v>81</v>
      </c>
      <c r="B10" s="202"/>
      <c r="C10" s="203"/>
      <c r="D10" s="194"/>
      <c r="E10" s="195"/>
      <c r="F10" s="46"/>
      <c r="G10" s="47">
        <f t="shared" si="0"/>
        <v>0</v>
      </c>
    </row>
    <row r="11" spans="1:7">
      <c r="A11" s="48" t="s">
        <v>82</v>
      </c>
      <c r="B11" s="202">
        <f>HLOOKUP($A$1,[1]DADOS!$A1:$IV156,4,0)</f>
        <v>12665507</v>
      </c>
      <c r="C11" s="203"/>
      <c r="D11" s="194">
        <f>$B$11</f>
        <v>12665507</v>
      </c>
      <c r="E11" s="195"/>
      <c r="F11" s="49">
        <f>HLOOKUP($A$1,[1]DADOS!$A1:$IV156,8,0)</f>
        <v>18120966.609999999</v>
      </c>
      <c r="G11" s="47">
        <f t="shared" si="0"/>
        <v>5455459.6099999994</v>
      </c>
    </row>
    <row r="12" spans="1:7">
      <c r="A12" s="45" t="s">
        <v>83</v>
      </c>
      <c r="B12" s="202"/>
      <c r="C12" s="203"/>
      <c r="D12" s="194">
        <f>B12</f>
        <v>0</v>
      </c>
      <c r="E12" s="195"/>
      <c r="F12" s="46"/>
      <c r="G12" s="47">
        <f t="shared" si="0"/>
        <v>0</v>
      </c>
    </row>
    <row r="13" spans="1:7">
      <c r="A13" s="48" t="s">
        <v>84</v>
      </c>
      <c r="B13" s="194"/>
      <c r="C13" s="195"/>
      <c r="D13" s="194">
        <f>B13</f>
        <v>0</v>
      </c>
      <c r="E13" s="195"/>
      <c r="F13" s="46"/>
      <c r="G13" s="47">
        <f t="shared" si="0"/>
        <v>0</v>
      </c>
    </row>
    <row r="14" spans="1:7">
      <c r="A14" s="45" t="s">
        <v>85</v>
      </c>
      <c r="B14" s="194"/>
      <c r="C14" s="195"/>
      <c r="D14" s="194">
        <f>B14</f>
        <v>0</v>
      </c>
      <c r="E14" s="195"/>
      <c r="F14" s="46"/>
      <c r="G14" s="47">
        <f t="shared" si="0"/>
        <v>0</v>
      </c>
    </row>
    <row r="15" spans="1:7">
      <c r="A15" s="45" t="s">
        <v>86</v>
      </c>
      <c r="B15" s="194"/>
      <c r="C15" s="195"/>
      <c r="D15" s="194">
        <f>B15</f>
        <v>0</v>
      </c>
      <c r="E15" s="195"/>
      <c r="F15" s="46"/>
      <c r="G15" s="47">
        <f t="shared" si="0"/>
        <v>0</v>
      </c>
    </row>
    <row r="16" spans="1:7">
      <c r="A16" s="45" t="s">
        <v>87</v>
      </c>
      <c r="B16" s="202">
        <f>HLOOKUP($A$1,[1]DADOS!$A1:$IV156,12,0)</f>
        <v>96000000</v>
      </c>
      <c r="C16" s="203"/>
      <c r="D16" s="194">
        <f>$B$16</f>
        <v>96000000</v>
      </c>
      <c r="E16" s="195"/>
      <c r="F16" s="49">
        <f>HLOOKUP($A$1,[1]DADOS!$A1:$IV156,16,0)+HLOOKUP($A$1,[1]DADOS!$A1:$IV156,26,0)+HLOOKUP($A$1,[1]DADOS!$A1:$IV156,34,0)+HLOOKUP($A$1,[1]DADOS!$A1:$IV156,44,0)</f>
        <v>39700987.279999994</v>
      </c>
      <c r="G16" s="47">
        <f t="shared" si="0"/>
        <v>-56299012.720000006</v>
      </c>
    </row>
    <row r="17" spans="1:7">
      <c r="A17" s="50" t="s">
        <v>88</v>
      </c>
      <c r="B17" s="201">
        <f>SUM(B18:B22)</f>
        <v>0</v>
      </c>
      <c r="C17" s="201"/>
      <c r="D17" s="201">
        <f>SUM(D18:D22)</f>
        <v>0</v>
      </c>
      <c r="E17" s="201"/>
      <c r="F17" s="51">
        <f>SUM(F18:F22)</f>
        <v>0</v>
      </c>
      <c r="G17" s="52">
        <f t="shared" si="0"/>
        <v>0</v>
      </c>
    </row>
    <row r="18" spans="1:7">
      <c r="A18" s="45" t="s">
        <v>89</v>
      </c>
      <c r="B18" s="194"/>
      <c r="C18" s="195"/>
      <c r="D18" s="194"/>
      <c r="E18" s="195"/>
      <c r="F18" s="53"/>
      <c r="G18" s="47">
        <f t="shared" si="0"/>
        <v>0</v>
      </c>
    </row>
    <row r="19" spans="1:7">
      <c r="A19" s="48" t="s">
        <v>90</v>
      </c>
      <c r="B19" s="194"/>
      <c r="C19" s="195"/>
      <c r="D19" s="194"/>
      <c r="E19" s="195"/>
      <c r="F19" s="53"/>
      <c r="G19" s="47">
        <f t="shared" si="0"/>
        <v>0</v>
      </c>
    </row>
    <row r="20" spans="1:7">
      <c r="A20" s="45" t="s">
        <v>91</v>
      </c>
      <c r="B20" s="194"/>
      <c r="C20" s="195"/>
      <c r="D20" s="194"/>
      <c r="E20" s="195"/>
      <c r="F20" s="53"/>
      <c r="G20" s="47">
        <f t="shared" si="0"/>
        <v>0</v>
      </c>
    </row>
    <row r="21" spans="1:7">
      <c r="A21" s="48" t="s">
        <v>92</v>
      </c>
      <c r="B21" s="194"/>
      <c r="C21" s="195"/>
      <c r="D21" s="194"/>
      <c r="E21" s="195"/>
      <c r="F21" s="53"/>
      <c r="G21" s="47">
        <f t="shared" si="0"/>
        <v>0</v>
      </c>
    </row>
    <row r="22" spans="1:7">
      <c r="A22" s="48" t="s">
        <v>93</v>
      </c>
      <c r="B22" s="194"/>
      <c r="C22" s="195"/>
      <c r="D22" s="194"/>
      <c r="E22" s="195"/>
      <c r="F22" s="53"/>
      <c r="G22" s="47">
        <f t="shared" si="0"/>
        <v>0</v>
      </c>
    </row>
    <row r="23" spans="1:7" ht="15.75" thickBot="1">
      <c r="A23" s="54" t="s">
        <v>94</v>
      </c>
      <c r="B23" s="200"/>
      <c r="C23" s="200"/>
      <c r="D23" s="200"/>
      <c r="E23" s="200"/>
      <c r="F23" s="55"/>
      <c r="G23" s="56"/>
    </row>
    <row r="24" spans="1:7" s="59" customFormat="1" ht="15.75" thickBot="1">
      <c r="A24" s="39" t="s">
        <v>95</v>
      </c>
      <c r="B24" s="193">
        <f>B8+B17+B23</f>
        <v>108665507</v>
      </c>
      <c r="C24" s="193"/>
      <c r="D24" s="193">
        <f>D8+D17+D23</f>
        <v>108665507</v>
      </c>
      <c r="E24" s="193"/>
      <c r="F24" s="57">
        <f>F8+F17+F23</f>
        <v>57821953.889999993</v>
      </c>
      <c r="G24" s="58">
        <f>F24-D24</f>
        <v>-50843553.110000007</v>
      </c>
    </row>
    <row r="25" spans="1:7">
      <c r="A25" s="42" t="s">
        <v>96</v>
      </c>
      <c r="B25" s="197">
        <f>SUM(B26:B31)</f>
        <v>0</v>
      </c>
      <c r="C25" s="197"/>
      <c r="D25" s="197">
        <f>SUM(D26:D31)</f>
        <v>0</v>
      </c>
      <c r="E25" s="197"/>
      <c r="F25" s="60">
        <f>SUM(F26:F31)</f>
        <v>0</v>
      </c>
      <c r="G25" s="61">
        <f>F25-D25</f>
        <v>0</v>
      </c>
    </row>
    <row r="26" spans="1:7">
      <c r="A26" s="45" t="s">
        <v>97</v>
      </c>
      <c r="B26" s="198"/>
      <c r="C26" s="199"/>
      <c r="D26" s="194"/>
      <c r="E26" s="195"/>
      <c r="F26" s="53"/>
      <c r="G26" s="62"/>
    </row>
    <row r="27" spans="1:7">
      <c r="A27" s="48" t="s">
        <v>98</v>
      </c>
      <c r="B27" s="194"/>
      <c r="C27" s="195"/>
      <c r="D27" s="194"/>
      <c r="E27" s="195"/>
      <c r="F27" s="53"/>
      <c r="G27" s="62"/>
    </row>
    <row r="28" spans="1:7">
      <c r="A28" s="48" t="s">
        <v>99</v>
      </c>
      <c r="B28" s="194"/>
      <c r="C28" s="195"/>
      <c r="D28" s="194"/>
      <c r="E28" s="195"/>
      <c r="F28" s="53"/>
      <c r="G28" s="62"/>
    </row>
    <row r="29" spans="1:7">
      <c r="A29" s="45" t="s">
        <v>100</v>
      </c>
      <c r="B29" s="194"/>
      <c r="C29" s="195"/>
      <c r="D29" s="194"/>
      <c r="E29" s="195"/>
      <c r="F29" s="53"/>
      <c r="G29" s="62"/>
    </row>
    <row r="30" spans="1:7">
      <c r="A30" s="48" t="s">
        <v>98</v>
      </c>
      <c r="B30" s="194"/>
      <c r="C30" s="195"/>
      <c r="D30" s="194"/>
      <c r="E30" s="195"/>
      <c r="F30" s="53"/>
      <c r="G30" s="62"/>
    </row>
    <row r="31" spans="1:7">
      <c r="A31" s="48" t="s">
        <v>99</v>
      </c>
      <c r="B31" s="194"/>
      <c r="C31" s="195"/>
      <c r="D31" s="194"/>
      <c r="E31" s="195"/>
      <c r="F31" s="53"/>
      <c r="G31" s="62"/>
    </row>
    <row r="32" spans="1:7">
      <c r="A32" s="50" t="s">
        <v>101</v>
      </c>
      <c r="B32" s="196">
        <f>B25+B24</f>
        <v>108665507</v>
      </c>
      <c r="C32" s="196"/>
      <c r="D32" s="196">
        <f>D25+D24</f>
        <v>108665507</v>
      </c>
      <c r="E32" s="196"/>
      <c r="F32" s="63">
        <f>F25+F24</f>
        <v>57821953.889999993</v>
      </c>
      <c r="G32" s="64">
        <f>F32-D32</f>
        <v>-50843553.110000007</v>
      </c>
    </row>
    <row r="33" spans="1:9" ht="15.75" thickBot="1">
      <c r="A33" s="54" t="s">
        <v>102</v>
      </c>
      <c r="B33" s="192">
        <f>IF(B32&gt;B59,0,B59-B32)</f>
        <v>2200000</v>
      </c>
      <c r="C33" s="192"/>
      <c r="D33" s="192">
        <f>IF(D32&gt;C59,0,C59-D32)</f>
        <v>2200000</v>
      </c>
      <c r="E33" s="192"/>
      <c r="F33" s="65">
        <f>IF(F32&gt;D59,0,D59-F32)</f>
        <v>5766312.8700000048</v>
      </c>
      <c r="G33" s="66">
        <f>IF(G32&gt;E59,0,E59-G32)</f>
        <v>87896246.020000011</v>
      </c>
    </row>
    <row r="34" spans="1:9" s="59" customFormat="1" ht="15.75" thickBot="1">
      <c r="A34" s="39" t="s">
        <v>103</v>
      </c>
      <c r="B34" s="193">
        <f>B32+B33</f>
        <v>110865507</v>
      </c>
      <c r="C34" s="193"/>
      <c r="D34" s="193">
        <f>D32+D33</f>
        <v>110865507</v>
      </c>
      <c r="E34" s="193"/>
      <c r="F34" s="57">
        <f>F32+F33</f>
        <v>63588266.759999998</v>
      </c>
      <c r="G34" s="58">
        <f>F34-D34</f>
        <v>-47277240.240000002</v>
      </c>
    </row>
    <row r="35" spans="1:9">
      <c r="A35" s="67" t="s">
        <v>104</v>
      </c>
      <c r="B35" s="189">
        <f>SUM(B36:C37)</f>
        <v>0</v>
      </c>
      <c r="C35" s="190"/>
      <c r="D35" s="189">
        <f>SUM(D36:E37)</f>
        <v>0</v>
      </c>
      <c r="E35" s="190"/>
      <c r="F35" s="68">
        <f>SUM(F36:F37)</f>
        <v>0</v>
      </c>
      <c r="G35" s="69">
        <f>SUM(G36:G37)</f>
        <v>0</v>
      </c>
    </row>
    <row r="36" spans="1:9">
      <c r="A36" s="70" t="s">
        <v>105</v>
      </c>
      <c r="B36" s="191"/>
      <c r="C36" s="191"/>
      <c r="D36" s="191"/>
      <c r="E36" s="191"/>
      <c r="F36" s="71"/>
      <c r="G36" s="72"/>
    </row>
    <row r="37" spans="1:9" ht="15.75" thickBot="1">
      <c r="A37" s="73" t="s">
        <v>106</v>
      </c>
      <c r="B37" s="188"/>
      <c r="C37" s="188"/>
      <c r="D37" s="188"/>
      <c r="E37" s="188"/>
      <c r="F37" s="74"/>
      <c r="G37" s="75"/>
    </row>
    <row r="38" spans="1:9">
      <c r="A38" s="76"/>
      <c r="B38" s="77"/>
      <c r="C38" s="77"/>
      <c r="D38" s="77"/>
      <c r="E38" s="77"/>
    </row>
    <row r="39" spans="1:9" ht="15.75" thickBot="1"/>
    <row r="40" spans="1:9" s="81" customFormat="1" ht="30.75" thickBot="1">
      <c r="A40" s="78" t="s">
        <v>107</v>
      </c>
      <c r="B40" s="79" t="s">
        <v>108</v>
      </c>
      <c r="C40" s="79" t="s">
        <v>109</v>
      </c>
      <c r="D40" s="79" t="s">
        <v>110</v>
      </c>
      <c r="E40" s="79" t="s">
        <v>111</v>
      </c>
      <c r="F40" s="79" t="s">
        <v>112</v>
      </c>
      <c r="G40" s="80" t="s">
        <v>113</v>
      </c>
    </row>
    <row r="41" spans="1:9">
      <c r="A41" s="82" t="s">
        <v>114</v>
      </c>
      <c r="B41" s="83">
        <f>SUM(B42:B44)</f>
        <v>102150000</v>
      </c>
      <c r="C41" s="83">
        <f>SUM(C42:C44)</f>
        <v>102150000</v>
      </c>
      <c r="D41" s="83">
        <f>SUM(D42:D44)</f>
        <v>59170174.299999997</v>
      </c>
      <c r="E41" s="83">
        <f>SUM(E42:E44)</f>
        <v>32987000.359999999</v>
      </c>
      <c r="F41" s="83">
        <f>SUM(F42:F44)</f>
        <v>32632582.800000001</v>
      </c>
      <c r="G41" s="84">
        <f>C41-D41</f>
        <v>42979825.700000003</v>
      </c>
    </row>
    <row r="42" spans="1:9">
      <c r="A42" s="48" t="s">
        <v>115</v>
      </c>
      <c r="B42" s="85"/>
      <c r="C42" s="85"/>
      <c r="D42" s="85"/>
      <c r="E42" s="85"/>
      <c r="F42" s="85"/>
      <c r="G42" s="86"/>
    </row>
    <row r="43" spans="1:9">
      <c r="A43" s="45" t="s">
        <v>116</v>
      </c>
      <c r="B43" s="85"/>
      <c r="C43" s="85"/>
      <c r="D43" s="85"/>
      <c r="E43" s="85"/>
      <c r="F43" s="85"/>
      <c r="G43" s="86"/>
    </row>
    <row r="44" spans="1:9">
      <c r="A44" s="45" t="s">
        <v>117</v>
      </c>
      <c r="B44" s="87">
        <f>HLOOKUP($A$1,[1]DADOS!$A1:$IV156,82,0)</f>
        <v>102150000</v>
      </c>
      <c r="C44" s="88">
        <f>HLOOKUP($A$1,[1]DADOS!$A1:$IV156,83,0)</f>
        <v>102150000</v>
      </c>
      <c r="D44" s="87">
        <f>HLOOKUP($A$1,[1]DADOS!$A1:$IV156,84,0)</f>
        <v>59170174.299999997</v>
      </c>
      <c r="E44" s="87">
        <f>HLOOKUP($A$1,[1]DADOS!$A1:$IV156,85,0)</f>
        <v>32987000.359999999</v>
      </c>
      <c r="F44" s="87">
        <f>HLOOKUP($A$1,[1]DADOS!$A1:$IV156,86,0)</f>
        <v>32632582.800000001</v>
      </c>
      <c r="G44" s="89">
        <f>C44-D44</f>
        <v>42979825.700000003</v>
      </c>
      <c r="I44" s="90"/>
    </row>
    <row r="45" spans="1:9">
      <c r="A45" s="50" t="s">
        <v>118</v>
      </c>
      <c r="B45" s="91">
        <f>SUM(B46:B48)</f>
        <v>8715507</v>
      </c>
      <c r="C45" s="91">
        <f>SUM(C46:C48)</f>
        <v>8715507</v>
      </c>
      <c r="D45" s="91">
        <f>SUM(D46:D48)</f>
        <v>4418092.46</v>
      </c>
      <c r="E45" s="91">
        <f>SUM(E46:E48)</f>
        <v>4065692.55</v>
      </c>
      <c r="F45" s="91">
        <f>SUM(F46:F48)</f>
        <v>4056712.55</v>
      </c>
      <c r="G45" s="92">
        <f>C45-D45</f>
        <v>4297414.54</v>
      </c>
      <c r="I45" s="90"/>
    </row>
    <row r="46" spans="1:9">
      <c r="A46" s="45" t="s">
        <v>119</v>
      </c>
      <c r="B46" s="87">
        <f>HLOOKUP($A$1,[1]DADOS!$A1:$IV156,88,0)</f>
        <v>8715507</v>
      </c>
      <c r="C46" s="93">
        <f>HLOOKUP($A$1,[1]DADOS!$A1:$IV156,89,0)</f>
        <v>8715507</v>
      </c>
      <c r="D46" s="87">
        <f>HLOOKUP($A$1,[1]DADOS!$A1:$IV156,90,0)</f>
        <v>4418092.46</v>
      </c>
      <c r="E46" s="87">
        <f>HLOOKUP($A$1,[1]DADOS!$A1:$IV156,91,0)</f>
        <v>4065692.55</v>
      </c>
      <c r="F46" s="87">
        <f>HLOOKUP($A$1,[1]DADOS!$A1:$IV156,92,0)</f>
        <v>4056712.55</v>
      </c>
      <c r="G46" s="89">
        <f>C46-D46</f>
        <v>4297414.54</v>
      </c>
      <c r="I46" s="94"/>
    </row>
    <row r="47" spans="1:9">
      <c r="A47" s="45" t="s">
        <v>120</v>
      </c>
      <c r="B47" s="85"/>
      <c r="C47" s="85"/>
      <c r="D47" s="85"/>
      <c r="E47" s="85"/>
      <c r="F47" s="85"/>
      <c r="G47" s="86"/>
    </row>
    <row r="48" spans="1:9">
      <c r="A48" s="45" t="s">
        <v>121</v>
      </c>
      <c r="B48" s="85"/>
      <c r="C48" s="85"/>
      <c r="D48" s="85"/>
      <c r="E48" s="85"/>
      <c r="F48" s="85"/>
      <c r="G48" s="86"/>
    </row>
    <row r="49" spans="1:16">
      <c r="A49" s="95" t="s">
        <v>122</v>
      </c>
      <c r="B49" s="96"/>
      <c r="C49" s="96"/>
      <c r="D49" s="96"/>
      <c r="E49" s="96"/>
      <c r="F49" s="96"/>
      <c r="G49" s="97"/>
    </row>
    <row r="50" spans="1:16" ht="15.75" thickBot="1">
      <c r="A50" s="95" t="s">
        <v>123</v>
      </c>
      <c r="B50" s="96"/>
      <c r="C50" s="96"/>
      <c r="D50" s="96"/>
      <c r="E50" s="96"/>
      <c r="F50" s="96"/>
      <c r="G50" s="97"/>
    </row>
    <row r="51" spans="1:16" ht="15.75" thickBot="1">
      <c r="A51" s="39" t="s">
        <v>124</v>
      </c>
      <c r="B51" s="98">
        <f>B41+B45+B49+B50</f>
        <v>110865507</v>
      </c>
      <c r="C51" s="98">
        <f>C41+C45+C49+C50</f>
        <v>110865507</v>
      </c>
      <c r="D51" s="98">
        <f>D41+D45+D49+D50</f>
        <v>63588266.759999998</v>
      </c>
      <c r="E51" s="98">
        <f>E41+E45+E49+E50</f>
        <v>37052692.909999996</v>
      </c>
      <c r="F51" s="98">
        <f>F41+F45+F49+F50</f>
        <v>36689295.350000001</v>
      </c>
      <c r="G51" s="99">
        <f>C51-D51</f>
        <v>47277240.240000002</v>
      </c>
    </row>
    <row r="52" spans="1:16">
      <c r="A52" s="42" t="s">
        <v>125</v>
      </c>
      <c r="B52" s="68">
        <f>SUM(B53:B58)</f>
        <v>0</v>
      </c>
      <c r="C52" s="68">
        <f>SUM(C53:C58)</f>
        <v>0</v>
      </c>
      <c r="D52" s="68">
        <f>SUM(D53:D58)</f>
        <v>0</v>
      </c>
      <c r="E52" s="68">
        <f>SUM(E53:E58)</f>
        <v>0</v>
      </c>
      <c r="F52" s="68">
        <f>SUM(F53:F58)</f>
        <v>0</v>
      </c>
      <c r="G52" s="69">
        <f>(C52-D52)</f>
        <v>0</v>
      </c>
    </row>
    <row r="53" spans="1:16">
      <c r="A53" s="45" t="s">
        <v>126</v>
      </c>
      <c r="B53" s="85"/>
      <c r="C53" s="85"/>
      <c r="D53" s="85"/>
      <c r="E53" s="85"/>
      <c r="F53" s="85"/>
      <c r="G53" s="86"/>
    </row>
    <row r="54" spans="1:16">
      <c r="A54" s="48" t="s">
        <v>127</v>
      </c>
      <c r="B54" s="85"/>
      <c r="C54" s="85"/>
      <c r="D54" s="85"/>
      <c r="E54" s="85"/>
      <c r="F54" s="85"/>
      <c r="G54" s="86"/>
    </row>
    <row r="55" spans="1:16">
      <c r="A55" s="45" t="s">
        <v>128</v>
      </c>
      <c r="B55" s="85"/>
      <c r="C55" s="85"/>
      <c r="D55" s="85"/>
      <c r="E55" s="85"/>
      <c r="F55" s="85"/>
      <c r="G55" s="86"/>
    </row>
    <row r="56" spans="1:16">
      <c r="A56" s="45" t="s">
        <v>129</v>
      </c>
      <c r="B56" s="85"/>
      <c r="C56" s="85"/>
      <c r="D56" s="85"/>
      <c r="E56" s="85"/>
      <c r="F56" s="85"/>
      <c r="G56" s="86"/>
    </row>
    <row r="57" spans="1:16">
      <c r="A57" s="48" t="s">
        <v>130</v>
      </c>
      <c r="B57" s="85"/>
      <c r="C57" s="85"/>
      <c r="D57" s="85"/>
      <c r="E57" s="85"/>
      <c r="F57" s="85"/>
      <c r="G57" s="86"/>
    </row>
    <row r="58" spans="1:16">
      <c r="A58" s="45" t="s">
        <v>128</v>
      </c>
      <c r="B58" s="85"/>
      <c r="C58" s="85"/>
      <c r="D58" s="85"/>
      <c r="E58" s="85"/>
      <c r="F58" s="85"/>
      <c r="G58" s="86"/>
    </row>
    <row r="59" spans="1:16">
      <c r="A59" s="50" t="s">
        <v>131</v>
      </c>
      <c r="B59" s="100">
        <f>(B51+B52)</f>
        <v>110865507</v>
      </c>
      <c r="C59" s="100">
        <f>(C51+C52)</f>
        <v>110865507</v>
      </c>
      <c r="D59" s="100">
        <f>(D51+D52)</f>
        <v>63588266.759999998</v>
      </c>
      <c r="E59" s="100">
        <f>(E51+E52)</f>
        <v>37052692.909999996</v>
      </c>
      <c r="F59" s="100">
        <f>(F51+F52)</f>
        <v>36689295.350000001</v>
      </c>
      <c r="G59" s="101">
        <f>(C59-D59)</f>
        <v>47277240.240000002</v>
      </c>
    </row>
    <row r="60" spans="1:16">
      <c r="A60" s="50" t="s">
        <v>132</v>
      </c>
      <c r="B60" s="91">
        <f>IF(B32&gt;B59,B32-B59,0)</f>
        <v>0</v>
      </c>
      <c r="C60" s="91">
        <f>IF(D32&gt;C59,D32-C59,0)</f>
        <v>0</v>
      </c>
      <c r="D60" s="91">
        <f>IF(F32&gt;D59,F32-D59,0)</f>
        <v>0</v>
      </c>
      <c r="E60" s="91">
        <f>IF(E32&gt;E59,E32-E59,0)</f>
        <v>0</v>
      </c>
      <c r="F60" s="91"/>
      <c r="G60" s="101">
        <f>IF(G32&gt;G59,G32-G59,0)</f>
        <v>0</v>
      </c>
    </row>
    <row r="61" spans="1:16" ht="15.75" thickBot="1">
      <c r="A61" s="102" t="s">
        <v>133</v>
      </c>
      <c r="B61" s="103">
        <f>B59+B60</f>
        <v>110865507</v>
      </c>
      <c r="C61" s="103">
        <f>C59+C60</f>
        <v>110865507</v>
      </c>
      <c r="D61" s="103">
        <f>D59+D60</f>
        <v>63588266.759999998</v>
      </c>
      <c r="E61" s="103">
        <f>E59+E60</f>
        <v>37052692.909999996</v>
      </c>
      <c r="F61" s="103">
        <f>F59+F60</f>
        <v>36689295.350000001</v>
      </c>
      <c r="G61" s="104">
        <f>(C61-D61)</f>
        <v>47277240.240000002</v>
      </c>
    </row>
    <row r="62" spans="1:16" s="24" customFormat="1" ht="13.5" customHeight="1">
      <c r="A62" s="20" t="s">
        <v>134</v>
      </c>
      <c r="B62" s="21"/>
      <c r="C62" s="21"/>
      <c r="D62" s="21"/>
      <c r="E62" s="22"/>
      <c r="F62" s="22"/>
      <c r="G62" s="22"/>
      <c r="H62" s="21"/>
      <c r="I62" s="21"/>
      <c r="J62" s="21"/>
      <c r="K62" s="22"/>
      <c r="L62" s="22"/>
      <c r="M62" s="22"/>
      <c r="N62" s="23"/>
    </row>
    <row r="63" spans="1:16" s="24" customFormat="1" ht="9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105"/>
      <c r="P63" s="27"/>
    </row>
    <row r="64" spans="1:16" s="24" customFormat="1" ht="9">
      <c r="A64" s="20" t="s">
        <v>48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6"/>
    </row>
    <row r="65" spans="1:14" s="24" customFormat="1" ht="9">
      <c r="A65" s="162" t="s">
        <v>49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</row>
    <row r="66" spans="1:14" s="24" customFormat="1" ht="9">
      <c r="A66" s="162" t="s">
        <v>50</v>
      </c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</row>
    <row r="67" spans="1:14" s="24" customFormat="1" ht="9">
      <c r="A67" s="162" t="s">
        <v>135</v>
      </c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</row>
    <row r="68" spans="1:14" s="24" customFormat="1" ht="9">
      <c r="A68" s="162" t="s">
        <v>136</v>
      </c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</row>
    <row r="75" spans="1:14" s="19" customFormat="1" ht="13.5" customHeight="1">
      <c r="A75" s="106" t="s">
        <v>61</v>
      </c>
      <c r="B75" s="140" t="s">
        <v>62</v>
      </c>
      <c r="C75" s="140"/>
      <c r="D75" s="140"/>
      <c r="E75" s="139" t="s">
        <v>63</v>
      </c>
      <c r="F75" s="139"/>
      <c r="G75" s="139"/>
    </row>
    <row r="76" spans="1:14" s="1" customFormat="1" ht="13.5" customHeight="1">
      <c r="A76" s="107" t="s">
        <v>64</v>
      </c>
      <c r="B76" s="141" t="s">
        <v>65</v>
      </c>
      <c r="C76" s="141"/>
      <c r="D76" s="141"/>
      <c r="E76" s="142" t="s">
        <v>137</v>
      </c>
      <c r="F76" s="142"/>
      <c r="G76" s="142"/>
      <c r="H76" s="108"/>
    </row>
    <row r="77" spans="1:14" s="1" customFormat="1" ht="13.5" customHeight="1">
      <c r="A77" s="109" t="s">
        <v>67</v>
      </c>
      <c r="B77" s="145" t="s">
        <v>68</v>
      </c>
      <c r="C77" s="145"/>
      <c r="D77" s="145"/>
      <c r="E77" s="145" t="s">
        <v>69</v>
      </c>
      <c r="F77" s="145"/>
      <c r="G77" s="145"/>
      <c r="H77" s="110"/>
    </row>
    <row r="78" spans="1:14" s="1" customFormat="1" ht="13.5" customHeight="1">
      <c r="A78" s="111" t="s">
        <v>70</v>
      </c>
      <c r="B78" s="145" t="s">
        <v>70</v>
      </c>
      <c r="C78" s="145"/>
      <c r="D78" s="145"/>
      <c r="E78" s="145" t="s">
        <v>70</v>
      </c>
      <c r="F78" s="145"/>
      <c r="G78" s="145"/>
      <c r="H78" s="110"/>
    </row>
  </sheetData>
  <sheetCalcPr fullCalcOnLoad="1"/>
  <mergeCells count="78">
    <mergeCell ref="B7:C7"/>
    <mergeCell ref="D7:E7"/>
    <mergeCell ref="B8:C8"/>
    <mergeCell ref="D8:E8"/>
    <mergeCell ref="A2:G2"/>
    <mergeCell ref="A3:G3"/>
    <mergeCell ref="A4:G4"/>
    <mergeCell ref="A5:G5"/>
    <mergeCell ref="B11:C11"/>
    <mergeCell ref="D11:E11"/>
    <mergeCell ref="B12:C12"/>
    <mergeCell ref="D12:E12"/>
    <mergeCell ref="B9:C9"/>
    <mergeCell ref="D9:E9"/>
    <mergeCell ref="B10:C10"/>
    <mergeCell ref="D10:E10"/>
    <mergeCell ref="B15:C15"/>
    <mergeCell ref="D15:E15"/>
    <mergeCell ref="B16:C16"/>
    <mergeCell ref="D16:E16"/>
    <mergeCell ref="B13:C13"/>
    <mergeCell ref="D13:E13"/>
    <mergeCell ref="B14:C14"/>
    <mergeCell ref="D14:E14"/>
    <mergeCell ref="B19:C19"/>
    <mergeCell ref="D19:E19"/>
    <mergeCell ref="B20:C20"/>
    <mergeCell ref="D20:E20"/>
    <mergeCell ref="B17:C17"/>
    <mergeCell ref="D17:E17"/>
    <mergeCell ref="B18:C18"/>
    <mergeCell ref="D18:E18"/>
    <mergeCell ref="B23:C23"/>
    <mergeCell ref="D23:E23"/>
    <mergeCell ref="B24:C24"/>
    <mergeCell ref="D24:E24"/>
    <mergeCell ref="B21:C21"/>
    <mergeCell ref="D21:E21"/>
    <mergeCell ref="B22:C22"/>
    <mergeCell ref="D22:E22"/>
    <mergeCell ref="B27:C27"/>
    <mergeCell ref="D27:E27"/>
    <mergeCell ref="B28:C28"/>
    <mergeCell ref="D28:E28"/>
    <mergeCell ref="B25:C25"/>
    <mergeCell ref="D25:E25"/>
    <mergeCell ref="B26:C26"/>
    <mergeCell ref="D26:E26"/>
    <mergeCell ref="B31:C31"/>
    <mergeCell ref="D31:E31"/>
    <mergeCell ref="B32:C32"/>
    <mergeCell ref="D32:E32"/>
    <mergeCell ref="B29:C29"/>
    <mergeCell ref="D29:E29"/>
    <mergeCell ref="B30:C30"/>
    <mergeCell ref="D30:E30"/>
    <mergeCell ref="B35:C35"/>
    <mergeCell ref="D35:E35"/>
    <mergeCell ref="B36:C36"/>
    <mergeCell ref="D36:E36"/>
    <mergeCell ref="B33:C33"/>
    <mergeCell ref="D33:E33"/>
    <mergeCell ref="B34:C34"/>
    <mergeCell ref="D34:E34"/>
    <mergeCell ref="A67:N67"/>
    <mergeCell ref="A68:N68"/>
    <mergeCell ref="B75:D75"/>
    <mergeCell ref="E75:G75"/>
    <mergeCell ref="B37:C37"/>
    <mergeCell ref="D37:E37"/>
    <mergeCell ref="A65:N65"/>
    <mergeCell ref="A66:N66"/>
    <mergeCell ref="B78:D78"/>
    <mergeCell ref="E78:G78"/>
    <mergeCell ref="B76:D76"/>
    <mergeCell ref="E76:G76"/>
    <mergeCell ref="B77:D77"/>
    <mergeCell ref="E77:G77"/>
  </mergeCells>
  <phoneticPr fontId="0" type="noConversion"/>
  <pageMargins left="0.13" right="0.13" top="0.74" bottom="0.78740157499999996" header="0.31496062000000002" footer="0.31496062000000002"/>
  <pageSetup paperSize="9" scale="6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6">
    <tabColor indexed="42"/>
    <pageSetUpPr fitToPage="1"/>
  </sheetPr>
  <dimension ref="A1:P43"/>
  <sheetViews>
    <sheetView topLeftCell="A2" zoomScaleNormal="100" workbookViewId="0">
      <selection sqref="A1:IV1"/>
    </sheetView>
  </sheetViews>
  <sheetFormatPr defaultRowHeight="15"/>
  <cols>
    <col min="1" max="1" width="47.7109375" style="36" bestFit="1" customWidth="1"/>
    <col min="2" max="2" width="21.42578125" style="36" customWidth="1"/>
    <col min="3" max="3" width="22.85546875" style="36" customWidth="1"/>
    <col min="4" max="4" width="16.42578125" style="36" bestFit="1" customWidth="1"/>
    <col min="5" max="5" width="14.28515625" style="36" customWidth="1"/>
    <col min="6" max="6" width="16.85546875" style="36" bestFit="1" customWidth="1"/>
    <col min="7" max="7" width="19.140625" style="36" bestFit="1" customWidth="1"/>
    <col min="8" max="16384" width="9.140625" style="36"/>
  </cols>
  <sheetData>
    <row r="1" spans="1:9" hidden="1">
      <c r="A1" s="35">
        <f>'[1]Balanço Orçamentário MCASP'!A1</f>
        <v>42917</v>
      </c>
    </row>
    <row r="2" spans="1:9">
      <c r="A2" s="213" t="s">
        <v>0</v>
      </c>
      <c r="B2" s="213"/>
      <c r="C2" s="213"/>
      <c r="D2" s="213"/>
      <c r="E2" s="213"/>
      <c r="F2" s="213"/>
      <c r="G2" s="213"/>
    </row>
    <row r="3" spans="1:9">
      <c r="A3" s="213" t="s">
        <v>138</v>
      </c>
      <c r="B3" s="213"/>
      <c r="C3" s="213"/>
      <c r="D3" s="213"/>
      <c r="E3" s="213"/>
      <c r="F3" s="213"/>
      <c r="G3" s="213"/>
    </row>
    <row r="4" spans="1:9">
      <c r="A4" s="213" t="s">
        <v>73</v>
      </c>
      <c r="B4" s="213"/>
      <c r="C4" s="213"/>
      <c r="D4" s="213"/>
      <c r="E4" s="213"/>
      <c r="F4" s="213"/>
      <c r="G4" s="213"/>
    </row>
    <row r="5" spans="1:9">
      <c r="A5" s="38"/>
      <c r="B5" s="38"/>
      <c r="C5" s="38"/>
      <c r="D5" s="38"/>
      <c r="E5" s="38"/>
      <c r="F5" s="38"/>
      <c r="G5" s="112"/>
    </row>
    <row r="6" spans="1:9" ht="15.75" thickBot="1">
      <c r="A6" s="38"/>
      <c r="B6" s="38"/>
      <c r="C6" s="38"/>
      <c r="D6" s="38"/>
      <c r="E6" s="38"/>
      <c r="F6" s="38"/>
      <c r="G6" s="38"/>
    </row>
    <row r="7" spans="1:9" ht="15.75" thickBot="1">
      <c r="A7" s="209" t="s">
        <v>139</v>
      </c>
      <c r="B7" s="211" t="s">
        <v>140</v>
      </c>
      <c r="C7" s="212"/>
      <c r="D7" s="215" t="s">
        <v>141</v>
      </c>
      <c r="E7" s="217" t="s">
        <v>142</v>
      </c>
      <c r="F7" s="215" t="s">
        <v>143</v>
      </c>
      <c r="G7" s="219" t="s">
        <v>144</v>
      </c>
    </row>
    <row r="8" spans="1:9" ht="42" customHeight="1" thickBot="1">
      <c r="A8" s="214"/>
      <c r="B8" s="113" t="s">
        <v>145</v>
      </c>
      <c r="C8" s="114" t="s">
        <v>146</v>
      </c>
      <c r="D8" s="216"/>
      <c r="E8" s="218"/>
      <c r="F8" s="216"/>
      <c r="G8" s="220"/>
    </row>
    <row r="9" spans="1:9" ht="15.75" thickBot="1">
      <c r="A9" s="115" t="s">
        <v>147</v>
      </c>
      <c r="B9" s="116">
        <f>SUM(B10:B12)</f>
        <v>1990.57</v>
      </c>
      <c r="C9" s="117">
        <f>SUM(C10:C12)</f>
        <v>4793384.96</v>
      </c>
      <c r="D9" s="117">
        <f>SUM(D10:D12)</f>
        <v>848938.9</v>
      </c>
      <c r="E9" s="116">
        <f>SUM(E10:E12)</f>
        <v>848938.9</v>
      </c>
      <c r="F9" s="117">
        <f>SUM(F10:F12)</f>
        <v>3944446.06</v>
      </c>
      <c r="G9" s="118">
        <f t="shared" ref="G9:G16" si="0">B9+C9-E9-F9</f>
        <v>1990.570000000298</v>
      </c>
      <c r="I9" s="94"/>
    </row>
    <row r="10" spans="1:9">
      <c r="A10" s="119" t="s">
        <v>115</v>
      </c>
      <c r="B10" s="120"/>
      <c r="C10" s="121"/>
      <c r="D10" s="121"/>
      <c r="E10" s="120"/>
      <c r="F10" s="121"/>
      <c r="G10" s="122">
        <f t="shared" si="0"/>
        <v>0</v>
      </c>
    </row>
    <row r="11" spans="1:9">
      <c r="A11" s="119" t="s">
        <v>116</v>
      </c>
      <c r="B11" s="120"/>
      <c r="C11" s="121"/>
      <c r="D11" s="123"/>
      <c r="E11" s="124"/>
      <c r="F11" s="121"/>
      <c r="G11" s="122">
        <f t="shared" si="0"/>
        <v>0</v>
      </c>
    </row>
    <row r="12" spans="1:9" ht="15.75" thickBot="1">
      <c r="A12" s="119" t="s">
        <v>117</v>
      </c>
      <c r="B12" s="125">
        <f>HLOOKUP($A$1,[1]DADOS!$A1:$IV156,122,0)</f>
        <v>1990.57</v>
      </c>
      <c r="C12" s="126">
        <f>HLOOKUP($A$1,[1]DADOS!$A1:$IV156,106,0)</f>
        <v>4793384.96</v>
      </c>
      <c r="D12" s="123">
        <f>$E$12</f>
        <v>848938.9</v>
      </c>
      <c r="E12" s="127">
        <f>HLOOKUP($A$1,[1]DADOS!$A1:$IV156,108,0)+HLOOKUP($A$1,[1]DADOS!$A1:$IV156,124,0)</f>
        <v>848938.9</v>
      </c>
      <c r="F12" s="128">
        <f>HLOOKUP($A$1,[1]DADOS!$A1:$IV156,110,0)+HLOOKUP($A$1,[1]DADOS!$A1:$IV156,126,0)</f>
        <v>3944446.06</v>
      </c>
      <c r="G12" s="122">
        <f>B12+C12-E12-F12</f>
        <v>1990.570000000298</v>
      </c>
    </row>
    <row r="13" spans="1:9" ht="15.75" thickBot="1">
      <c r="A13" s="115" t="s">
        <v>148</v>
      </c>
      <c r="B13" s="116">
        <f>SUM(B14:B16)</f>
        <v>0</v>
      </c>
      <c r="C13" s="117">
        <f>SUM(C14:C16)</f>
        <v>198473.76</v>
      </c>
      <c r="D13" s="117">
        <f>SUM(D14:D16)</f>
        <v>27806.34</v>
      </c>
      <c r="E13" s="116">
        <f>SUM(E14:E16)</f>
        <v>27806.34</v>
      </c>
      <c r="F13" s="117">
        <f>SUM(F14:F16)</f>
        <v>170667.42</v>
      </c>
      <c r="G13" s="118">
        <f t="shared" si="0"/>
        <v>0</v>
      </c>
    </row>
    <row r="14" spans="1:9">
      <c r="A14" s="119" t="s">
        <v>119</v>
      </c>
      <c r="B14" s="125">
        <f>HLOOKUP($A$1,[1]DADOS!$A1:$IV156,129,0)</f>
        <v>0</v>
      </c>
      <c r="C14" s="126">
        <f>HLOOKUP($A$1,[1]DADOS!$A1:$IV156,113,0)</f>
        <v>198473.76</v>
      </c>
      <c r="D14" s="121">
        <f>$E$14</f>
        <v>27806.34</v>
      </c>
      <c r="E14" s="125">
        <f>HLOOKUP($A$1,[1]DADOS!$A1:$IV156,115,0)+HLOOKUP($A$1,[1]DADOS!$A1:$IV156,131,0)</f>
        <v>27806.34</v>
      </c>
      <c r="F14" s="128">
        <f>HLOOKUP($A$1,[1]DADOS!$A1:$IV156,117,0)+HLOOKUP($A$1,[1]DADOS!$A1:$IV156,133,0)</f>
        <v>170667.42</v>
      </c>
      <c r="G14" s="122">
        <f t="shared" si="0"/>
        <v>0</v>
      </c>
    </row>
    <row r="15" spans="1:9">
      <c r="A15" s="119" t="s">
        <v>120</v>
      </c>
      <c r="B15" s="120"/>
      <c r="C15" s="121"/>
      <c r="D15" s="121"/>
      <c r="E15" s="120"/>
      <c r="F15" s="121"/>
      <c r="G15" s="122">
        <f t="shared" si="0"/>
        <v>0</v>
      </c>
    </row>
    <row r="16" spans="1:9" ht="15.75" thickBot="1">
      <c r="A16" s="129" t="s">
        <v>121</v>
      </c>
      <c r="B16" s="120"/>
      <c r="C16" s="121"/>
      <c r="D16" s="121"/>
      <c r="E16" s="130"/>
      <c r="F16" s="121"/>
      <c r="G16" s="122">
        <f t="shared" si="0"/>
        <v>0</v>
      </c>
    </row>
    <row r="17" spans="1:16" s="59" customFormat="1" ht="15.75" thickBot="1">
      <c r="A17" s="39" t="s">
        <v>149</v>
      </c>
      <c r="B17" s="131">
        <f t="shared" ref="B17:G17" si="1">B9+B13</f>
        <v>1990.57</v>
      </c>
      <c r="C17" s="132">
        <f t="shared" si="1"/>
        <v>4991858.72</v>
      </c>
      <c r="D17" s="132">
        <f t="shared" si="1"/>
        <v>876745.24</v>
      </c>
      <c r="E17" s="132">
        <f t="shared" si="1"/>
        <v>876745.24</v>
      </c>
      <c r="F17" s="132">
        <f t="shared" si="1"/>
        <v>4115113.48</v>
      </c>
      <c r="G17" s="132">
        <f t="shared" si="1"/>
        <v>1990.570000000298</v>
      </c>
    </row>
    <row r="19" spans="1:16" ht="15.75" thickBot="1">
      <c r="A19" s="38"/>
      <c r="B19" s="38"/>
      <c r="C19" s="38"/>
      <c r="D19" s="38"/>
      <c r="E19" s="38"/>
      <c r="F19" s="38"/>
      <c r="G19" s="38"/>
    </row>
    <row r="20" spans="1:16" ht="15.75" thickBot="1">
      <c r="A20" s="209" t="s">
        <v>150</v>
      </c>
      <c r="B20" s="211" t="s">
        <v>140</v>
      </c>
      <c r="C20" s="212"/>
      <c r="D20" s="207" t="s">
        <v>141</v>
      </c>
      <c r="E20" s="207" t="s">
        <v>142</v>
      </c>
      <c r="F20" s="207" t="s">
        <v>143</v>
      </c>
      <c r="G20" s="207" t="s">
        <v>144</v>
      </c>
    </row>
    <row r="21" spans="1:16" ht="30.75" thickBot="1">
      <c r="A21" s="210"/>
      <c r="B21" s="113" t="s">
        <v>145</v>
      </c>
      <c r="C21" s="114" t="s">
        <v>146</v>
      </c>
      <c r="D21" s="208"/>
      <c r="E21" s="208"/>
      <c r="F21" s="208"/>
      <c r="G21" s="208"/>
    </row>
    <row r="22" spans="1:16" ht="15.75" thickBot="1">
      <c r="A22" s="133" t="s">
        <v>147</v>
      </c>
      <c r="B22" s="116">
        <f>SUM(B23:B25)</f>
        <v>11541.36</v>
      </c>
      <c r="C22" s="117">
        <f>SUM(C23:C25)</f>
        <v>185350.75</v>
      </c>
      <c r="D22" s="117">
        <f>SUM(D23:D25)</f>
        <v>128467.61</v>
      </c>
      <c r="E22" s="117">
        <f>SUM(E23:E25)</f>
        <v>128467.61</v>
      </c>
      <c r="F22" s="117">
        <f>SUM(F23:F25)</f>
        <v>55096.38</v>
      </c>
      <c r="G22" s="117">
        <f t="shared" ref="G22:G27" si="2">B22+C22-E22-F22</f>
        <v>13328.119999999988</v>
      </c>
    </row>
    <row r="23" spans="1:16">
      <c r="A23" s="134" t="s">
        <v>115</v>
      </c>
      <c r="B23" s="120"/>
      <c r="C23" s="120"/>
      <c r="D23" s="123"/>
      <c r="E23" s="123"/>
      <c r="F23" s="123"/>
      <c r="G23" s="121">
        <f t="shared" si="2"/>
        <v>0</v>
      </c>
    </row>
    <row r="24" spans="1:16">
      <c r="A24" s="134" t="s">
        <v>116</v>
      </c>
      <c r="B24" s="120"/>
      <c r="C24" s="121"/>
      <c r="D24" s="121"/>
      <c r="E24" s="121"/>
      <c r="F24" s="121"/>
      <c r="G24" s="121">
        <f t="shared" si="2"/>
        <v>0</v>
      </c>
    </row>
    <row r="25" spans="1:16" ht="15.75" thickBot="1">
      <c r="A25" s="134" t="s">
        <v>117</v>
      </c>
      <c r="B25" s="127">
        <f>HLOOKUP($A$1,[1]DADOS!$A1:$IV156,123,0)</f>
        <v>11541.36</v>
      </c>
      <c r="C25" s="127">
        <f>HLOOKUP($A$1,[1]DADOS!$A1:$IV156,107,0)</f>
        <v>185350.75</v>
      </c>
      <c r="D25" s="123">
        <f>$E$25</f>
        <v>128467.61</v>
      </c>
      <c r="E25" s="128">
        <f>HLOOKUP($A$1,[1]DADOS!$A1:$IV156,109,0)+HLOOKUP($A$1,[1]DADOS!$A1:$IV156,125,0)</f>
        <v>128467.61</v>
      </c>
      <c r="F25" s="128">
        <f>HLOOKUP($A$1,[1]DADOS!$A1:$IV156,111,0)+HLOOKUP($A$1,[1]DADOS!$A1:$IV156,127,0)</f>
        <v>55096.38</v>
      </c>
      <c r="G25" s="126">
        <f t="shared" si="2"/>
        <v>13328.119999999988</v>
      </c>
    </row>
    <row r="26" spans="1:16" ht="15.75" thickBot="1">
      <c r="A26" s="133" t="s">
        <v>148</v>
      </c>
      <c r="B26" s="116">
        <f>SUM(B27:B29)</f>
        <v>1500</v>
      </c>
      <c r="C26" s="117">
        <f>SUM(C27:C29)</f>
        <v>2290.56</v>
      </c>
      <c r="D26" s="117">
        <f>SUM(D27:D29)</f>
        <v>2290.56</v>
      </c>
      <c r="E26" s="117">
        <f>SUM(E27:E29)</f>
        <v>2290.56</v>
      </c>
      <c r="F26" s="117">
        <f>SUM(F27:F29)</f>
        <v>0</v>
      </c>
      <c r="G26" s="117">
        <f t="shared" si="2"/>
        <v>1500</v>
      </c>
    </row>
    <row r="27" spans="1:16">
      <c r="A27" s="134" t="s">
        <v>119</v>
      </c>
      <c r="B27" s="125">
        <f>HLOOKUP($A$1,[1]DADOS!$A1:$IV156,130,0)</f>
        <v>1500</v>
      </c>
      <c r="C27" s="126">
        <f>HLOOKUP($A$1,[1]DADOS!$A1:$IV156,114,0)</f>
        <v>2290.56</v>
      </c>
      <c r="D27" s="126">
        <f>$E$27</f>
        <v>2290.56</v>
      </c>
      <c r="E27" s="128">
        <f>HLOOKUP($A$1,[1]DADOS!$A1:$IV156,116,0)+HLOOKUP($A$1,[1]DADOS!$A1:$IV156,132,0)</f>
        <v>2290.56</v>
      </c>
      <c r="F27" s="128">
        <f>HLOOKUP($A$1,[1]DADOS!$A1:$IV156,118,0)+HLOOKUP($A$1,[1]DADOS!$A1:$IV156,134,0)</f>
        <v>0</v>
      </c>
      <c r="G27" s="126">
        <f t="shared" si="2"/>
        <v>1500</v>
      </c>
    </row>
    <row r="28" spans="1:16">
      <c r="A28" s="134" t="s">
        <v>120</v>
      </c>
      <c r="B28" s="120"/>
      <c r="C28" s="121"/>
      <c r="D28" s="121"/>
      <c r="E28" s="121"/>
      <c r="F28" s="121"/>
      <c r="G28" s="121"/>
    </row>
    <row r="29" spans="1:16" ht="15.75" thickBot="1">
      <c r="A29" s="134" t="s">
        <v>121</v>
      </c>
      <c r="B29" s="130"/>
      <c r="C29" s="121"/>
      <c r="D29" s="135"/>
      <c r="E29" s="121"/>
      <c r="F29" s="121"/>
      <c r="G29" s="121"/>
    </row>
    <row r="30" spans="1:16" s="59" customFormat="1" ht="15.75" thickBot="1">
      <c r="A30" s="39" t="s">
        <v>149</v>
      </c>
      <c r="B30" s="131">
        <f t="shared" ref="B30:G30" si="3">B22+B26</f>
        <v>13041.36</v>
      </c>
      <c r="C30" s="132">
        <f t="shared" si="3"/>
        <v>187641.31</v>
      </c>
      <c r="D30" s="132">
        <f t="shared" si="3"/>
        <v>130758.17</v>
      </c>
      <c r="E30" s="132">
        <f t="shared" si="3"/>
        <v>130758.17</v>
      </c>
      <c r="F30" s="132">
        <f t="shared" si="3"/>
        <v>55096.38</v>
      </c>
      <c r="G30" s="132">
        <f t="shared" si="3"/>
        <v>14828.119999999988</v>
      </c>
    </row>
    <row r="31" spans="1:16" s="24" customFormat="1" ht="13.5" customHeight="1">
      <c r="A31" s="20" t="s">
        <v>47</v>
      </c>
      <c r="B31" s="21"/>
      <c r="C31" s="21"/>
      <c r="D31" s="21"/>
      <c r="E31" s="22"/>
      <c r="F31" s="22"/>
      <c r="G31" s="22"/>
      <c r="H31" s="21"/>
      <c r="I31" s="21"/>
      <c r="J31" s="21"/>
      <c r="K31" s="22"/>
      <c r="L31" s="22"/>
      <c r="M31" s="22"/>
      <c r="N31" s="23"/>
    </row>
    <row r="32" spans="1:16" s="24" customFormat="1" ht="9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105"/>
      <c r="P32" s="27"/>
    </row>
    <row r="33" spans="1:14" s="24" customFormat="1" ht="9">
      <c r="A33" s="20" t="s">
        <v>48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</row>
    <row r="34" spans="1:14" s="24" customFormat="1" ht="9">
      <c r="A34" s="162" t="s">
        <v>49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</row>
    <row r="35" spans="1:14" s="24" customFormat="1" ht="9">
      <c r="A35" s="162" t="s">
        <v>50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</row>
    <row r="36" spans="1:14" s="24" customFormat="1" ht="9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</row>
    <row r="37" spans="1:14" s="24" customFormat="1" ht="9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</row>
    <row r="38" spans="1:14" s="1" customFormat="1" ht="11.25">
      <c r="A38" s="137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33"/>
    </row>
    <row r="39" spans="1:14" s="1" customFormat="1" ht="11.25">
      <c r="I39" s="33"/>
    </row>
    <row r="40" spans="1:14" s="19" customFormat="1" ht="13.5" customHeight="1">
      <c r="A40" s="106" t="s">
        <v>61</v>
      </c>
      <c r="B40" s="140" t="s">
        <v>62</v>
      </c>
      <c r="C40" s="140"/>
      <c r="D40" s="140"/>
      <c r="E40" s="139" t="s">
        <v>63</v>
      </c>
      <c r="F40" s="139"/>
      <c r="G40" s="139"/>
    </row>
    <row r="41" spans="1:14" s="1" customFormat="1" ht="13.5" customHeight="1">
      <c r="A41" s="107" t="s">
        <v>64</v>
      </c>
      <c r="B41" s="141" t="s">
        <v>65</v>
      </c>
      <c r="C41" s="141"/>
      <c r="D41" s="141"/>
      <c r="E41" s="142" t="s">
        <v>137</v>
      </c>
      <c r="F41" s="142"/>
      <c r="G41" s="142"/>
      <c r="H41" s="108"/>
    </row>
    <row r="42" spans="1:14" s="1" customFormat="1" ht="13.5" customHeight="1">
      <c r="A42" s="109" t="s">
        <v>67</v>
      </c>
      <c r="B42" s="145" t="s">
        <v>68</v>
      </c>
      <c r="C42" s="145"/>
      <c r="D42" s="145"/>
      <c r="E42" s="145" t="s">
        <v>69</v>
      </c>
      <c r="F42" s="145"/>
      <c r="G42" s="145"/>
      <c r="H42" s="110"/>
    </row>
    <row r="43" spans="1:14" s="1" customFormat="1" ht="13.5" customHeight="1">
      <c r="A43" s="111" t="s">
        <v>70</v>
      </c>
      <c r="B43" s="145" t="s">
        <v>70</v>
      </c>
      <c r="C43" s="145"/>
      <c r="D43" s="145"/>
      <c r="E43" s="145" t="s">
        <v>70</v>
      </c>
      <c r="F43" s="145"/>
      <c r="G43" s="145"/>
      <c r="H43" s="110"/>
    </row>
  </sheetData>
  <sheetCalcPr fullCalcOnLoad="1"/>
  <mergeCells count="25"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B41:D41"/>
    <mergeCell ref="A20:A21"/>
    <mergeCell ref="B20:C20"/>
    <mergeCell ref="D20:D21"/>
    <mergeCell ref="E20:E21"/>
    <mergeCell ref="G20:G21"/>
    <mergeCell ref="E41:G41"/>
    <mergeCell ref="F20:F21"/>
    <mergeCell ref="B42:D42"/>
    <mergeCell ref="E42:G42"/>
    <mergeCell ref="B43:D43"/>
    <mergeCell ref="E43:G43"/>
    <mergeCell ref="A34:N34"/>
    <mergeCell ref="A35:N35"/>
    <mergeCell ref="B40:D40"/>
    <mergeCell ref="E40:G40"/>
  </mergeCells>
  <phoneticPr fontId="0" type="noConversion"/>
  <pageMargins left="0.511811024" right="0.511811024" top="0.36" bottom="0.33" header="0.31496062000000002" footer="0.31496062000000002"/>
  <pageSetup paperSize="9" scale="87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</vt:lpstr>
      <vt:lpstr>'Anexos do BO'!Print_Area</vt:lpstr>
      <vt:lpstr>'Balanço Financeiro '!Print_Area</vt:lpstr>
      <vt:lpstr>'Balanço Orçamentário MCASP'!Print_Area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Cleber Tavares de Souza</dc:creator>
  <cp:lastModifiedBy>d845866</cp:lastModifiedBy>
  <dcterms:created xsi:type="dcterms:W3CDTF">2017-08-28T13:30:27Z</dcterms:created>
  <dcterms:modified xsi:type="dcterms:W3CDTF">2017-11-22T17:39:32Z</dcterms:modified>
</cp:coreProperties>
</file>